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2.xml" ContentType="application/vnd.openxmlformats-officedocument.spreadsheetml.comments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dc9a157906d60f/Vektor/Log/2024/"/>
    </mc:Choice>
  </mc:AlternateContent>
  <xr:revisionPtr revIDLastSave="60" documentId="8_{AC6B1330-A375-4120-AF47-B9ED5BD08B46}" xr6:coauthVersionLast="47" xr6:coauthVersionMax="47" xr10:uidLastSave="{B5A5B654-7131-4443-8B16-6EBC8F85AFE2}"/>
  <bookViews>
    <workbookView xWindow="11472" yWindow="324" windowWidth="11520" windowHeight="11592" activeTab="1" xr2:uid="{D93BD4F2-E1BE-4D0E-9D36-2D60A81141FD}"/>
  </bookViews>
  <sheets>
    <sheet name="Member list" sheetId="1" r:id="rId1"/>
    <sheet name="DS Point Summary " sheetId="18" r:id="rId2"/>
    <sheet name="STD Handgun" sheetId="3" r:id="rId3"/>
    <sheet name="PROD Handgun" sheetId="5" r:id="rId4"/>
    <sheet name="PROD OPTICS Handgun" sheetId="4" r:id="rId5"/>
    <sheet name="OPEN Handgun" sheetId="6" r:id="rId6"/>
    <sheet name="CLASSIC Handgun" sheetId="16" r:id="rId7"/>
    <sheet name="Revolver" sheetId="17" r:id="rId8"/>
    <sheet name="PCC" sheetId="7" r:id="rId9"/>
    <sheet name="SAOpen Rifle" sheetId="8" r:id="rId10"/>
    <sheet name="SA Std Rifle" sheetId="9" r:id="rId11"/>
    <sheet name="Open Mini Rifle" sheetId="10" r:id="rId12"/>
    <sheet name="STD Mini Rifle" sheetId="11" r:id="rId13"/>
    <sheet name="SA OPEN Shotgun" sheetId="12" r:id="rId14"/>
    <sheet name="SA STD Shotgun" sheetId="13" r:id="rId15"/>
    <sheet name="MAN STD Shotgun" sheetId="14" r:id="rId16"/>
    <sheet name="MODIFIED Shotgun" sheetId="15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" i="7" l="1"/>
  <c r="K2" i="7"/>
  <c r="J43" i="18"/>
  <c r="I43" i="18" s="1"/>
  <c r="D70" i="15"/>
  <c r="E70" i="15"/>
  <c r="F70" i="15"/>
  <c r="H70" i="15"/>
  <c r="J70" i="15"/>
  <c r="K70" i="15"/>
  <c r="A70" i="15" s="1"/>
  <c r="D70" i="14"/>
  <c r="E70" i="14"/>
  <c r="F70" i="14"/>
  <c r="H70" i="14"/>
  <c r="J70" i="14"/>
  <c r="K70" i="14"/>
  <c r="A70" i="14" s="1"/>
  <c r="D70" i="13"/>
  <c r="E70" i="13"/>
  <c r="F70" i="13"/>
  <c r="H70" i="13"/>
  <c r="J70" i="13"/>
  <c r="K70" i="13"/>
  <c r="A70" i="13" s="1"/>
  <c r="D70" i="12"/>
  <c r="E70" i="12"/>
  <c r="F70" i="12"/>
  <c r="H70" i="12"/>
  <c r="J70" i="12"/>
  <c r="K70" i="12"/>
  <c r="D72" i="11"/>
  <c r="E72" i="11"/>
  <c r="F72" i="11"/>
  <c r="H72" i="11"/>
  <c r="J72" i="11"/>
  <c r="K72" i="11"/>
  <c r="A72" i="11" s="1"/>
  <c r="D70" i="10"/>
  <c r="E70" i="10"/>
  <c r="F70" i="10"/>
  <c r="H70" i="10"/>
  <c r="J70" i="10"/>
  <c r="K70" i="10"/>
  <c r="D70" i="9"/>
  <c r="E70" i="9"/>
  <c r="F70" i="9"/>
  <c r="H70" i="9"/>
  <c r="J70" i="9"/>
  <c r="K70" i="9"/>
  <c r="D70" i="8"/>
  <c r="E70" i="8"/>
  <c r="F70" i="8"/>
  <c r="H70" i="8"/>
  <c r="J70" i="8"/>
  <c r="K70" i="8"/>
  <c r="D70" i="7"/>
  <c r="E70" i="7"/>
  <c r="F70" i="7"/>
  <c r="H70" i="7"/>
  <c r="J70" i="7"/>
  <c r="K70" i="7"/>
  <c r="D70" i="17"/>
  <c r="E70" i="17"/>
  <c r="F70" i="17"/>
  <c r="H70" i="17"/>
  <c r="J70" i="17"/>
  <c r="K70" i="17"/>
  <c r="A70" i="17" s="1"/>
  <c r="D70" i="16"/>
  <c r="E70" i="16"/>
  <c r="F70" i="16"/>
  <c r="H70" i="16"/>
  <c r="J70" i="16"/>
  <c r="K70" i="16"/>
  <c r="A70" i="16" s="1"/>
  <c r="D70" i="6"/>
  <c r="E70" i="6"/>
  <c r="F70" i="6"/>
  <c r="H70" i="6"/>
  <c r="J70" i="6"/>
  <c r="K70" i="6"/>
  <c r="D8" i="4"/>
  <c r="E8" i="4"/>
  <c r="F8" i="4"/>
  <c r="H8" i="4"/>
  <c r="J8" i="4"/>
  <c r="K8" i="4"/>
  <c r="D70" i="5"/>
  <c r="E70" i="5"/>
  <c r="F70" i="5"/>
  <c r="J70" i="5"/>
  <c r="K70" i="5"/>
  <c r="D70" i="3"/>
  <c r="E70" i="3"/>
  <c r="F70" i="3"/>
  <c r="J70" i="3"/>
  <c r="K70" i="3"/>
  <c r="K70" i="1"/>
  <c r="L70" i="1" s="1"/>
  <c r="J70" i="1" s="1"/>
  <c r="F43" i="18" s="1"/>
  <c r="D68" i="9"/>
  <c r="E68" i="9"/>
  <c r="F68" i="9"/>
  <c r="G68" i="9"/>
  <c r="H68" i="9"/>
  <c r="J68" i="9"/>
  <c r="K68" i="9"/>
  <c r="D69" i="9"/>
  <c r="E69" i="9"/>
  <c r="F69" i="9"/>
  <c r="H69" i="9"/>
  <c r="J69" i="9"/>
  <c r="K69" i="9"/>
  <c r="D68" i="15"/>
  <c r="E68" i="15"/>
  <c r="F68" i="15"/>
  <c r="H68" i="15"/>
  <c r="J68" i="15"/>
  <c r="K68" i="15"/>
  <c r="A68" i="15" s="1"/>
  <c r="D69" i="15"/>
  <c r="E69" i="15"/>
  <c r="F69" i="15"/>
  <c r="H69" i="15"/>
  <c r="J69" i="15"/>
  <c r="K69" i="15"/>
  <c r="D68" i="14"/>
  <c r="E68" i="14"/>
  <c r="F68" i="14"/>
  <c r="H68" i="14"/>
  <c r="J68" i="14"/>
  <c r="K68" i="14"/>
  <c r="A68" i="14" s="1"/>
  <c r="D69" i="14"/>
  <c r="E69" i="14"/>
  <c r="F69" i="14"/>
  <c r="H69" i="14"/>
  <c r="J69" i="14"/>
  <c r="K69" i="14"/>
  <c r="A69" i="14" s="1"/>
  <c r="D68" i="13"/>
  <c r="E68" i="13"/>
  <c r="F68" i="13"/>
  <c r="H68" i="13"/>
  <c r="J68" i="13"/>
  <c r="K68" i="13"/>
  <c r="A68" i="13" s="1"/>
  <c r="D69" i="13"/>
  <c r="E69" i="13"/>
  <c r="F69" i="13"/>
  <c r="H69" i="13"/>
  <c r="J69" i="13"/>
  <c r="K69" i="13"/>
  <c r="D68" i="12"/>
  <c r="E68" i="12"/>
  <c r="F68" i="12"/>
  <c r="H68" i="12"/>
  <c r="J68" i="12"/>
  <c r="K68" i="12"/>
  <c r="D69" i="12"/>
  <c r="E69" i="12"/>
  <c r="F69" i="12"/>
  <c r="H69" i="12"/>
  <c r="J69" i="12"/>
  <c r="K69" i="12"/>
  <c r="A69" i="12" s="1"/>
  <c r="D70" i="11"/>
  <c r="E70" i="11"/>
  <c r="F70" i="11"/>
  <c r="H70" i="11"/>
  <c r="J70" i="11"/>
  <c r="K70" i="11"/>
  <c r="A70" i="11" s="1"/>
  <c r="D71" i="11"/>
  <c r="E71" i="11"/>
  <c r="F71" i="11"/>
  <c r="H71" i="11"/>
  <c r="J71" i="11"/>
  <c r="K71" i="11"/>
  <c r="D68" i="10"/>
  <c r="E68" i="10"/>
  <c r="F68" i="10"/>
  <c r="H68" i="10"/>
  <c r="J68" i="10"/>
  <c r="K68" i="10"/>
  <c r="D69" i="10"/>
  <c r="E69" i="10"/>
  <c r="F69" i="10"/>
  <c r="H69" i="10"/>
  <c r="J69" i="10"/>
  <c r="K69" i="10"/>
  <c r="D68" i="8"/>
  <c r="E68" i="8"/>
  <c r="F68" i="8"/>
  <c r="H68" i="8"/>
  <c r="J68" i="8"/>
  <c r="K68" i="8"/>
  <c r="D69" i="8"/>
  <c r="E69" i="8"/>
  <c r="F69" i="8"/>
  <c r="H69" i="8"/>
  <c r="J69" i="8"/>
  <c r="K69" i="8"/>
  <c r="D68" i="7"/>
  <c r="E68" i="7"/>
  <c r="F68" i="7"/>
  <c r="G68" i="7"/>
  <c r="H68" i="7"/>
  <c r="J68" i="7"/>
  <c r="K68" i="7"/>
  <c r="D69" i="7"/>
  <c r="E69" i="7"/>
  <c r="F69" i="7"/>
  <c r="H69" i="7"/>
  <c r="J69" i="7"/>
  <c r="K69" i="7"/>
  <c r="D68" i="17"/>
  <c r="E68" i="17"/>
  <c r="F68" i="17"/>
  <c r="G68" i="17"/>
  <c r="H68" i="17"/>
  <c r="J68" i="17"/>
  <c r="K68" i="17"/>
  <c r="A68" i="17" s="1"/>
  <c r="D69" i="17"/>
  <c r="E69" i="17"/>
  <c r="F69" i="17"/>
  <c r="H69" i="17"/>
  <c r="J69" i="17"/>
  <c r="K69" i="17"/>
  <c r="A69" i="17" s="1"/>
  <c r="D68" i="16"/>
  <c r="E68" i="16"/>
  <c r="F68" i="16"/>
  <c r="H68" i="16"/>
  <c r="J68" i="16"/>
  <c r="K68" i="16"/>
  <c r="D69" i="16"/>
  <c r="E69" i="16"/>
  <c r="F69" i="16"/>
  <c r="H69" i="16"/>
  <c r="J69" i="16"/>
  <c r="K69" i="16"/>
  <c r="D68" i="6"/>
  <c r="E68" i="6"/>
  <c r="F68" i="6"/>
  <c r="H68" i="6"/>
  <c r="J68" i="6"/>
  <c r="K68" i="6"/>
  <c r="D69" i="6"/>
  <c r="E69" i="6"/>
  <c r="F69" i="6"/>
  <c r="H69" i="6"/>
  <c r="J69" i="6"/>
  <c r="K69" i="6"/>
  <c r="D69" i="4"/>
  <c r="E69" i="4"/>
  <c r="F69" i="4"/>
  <c r="G69" i="4"/>
  <c r="H69" i="4"/>
  <c r="J69" i="4"/>
  <c r="K69" i="4"/>
  <c r="D70" i="4"/>
  <c r="E70" i="4"/>
  <c r="F70" i="4"/>
  <c r="H70" i="4"/>
  <c r="J70" i="4"/>
  <c r="K70" i="4"/>
  <c r="D68" i="5"/>
  <c r="E68" i="5"/>
  <c r="F68" i="5"/>
  <c r="J68" i="5"/>
  <c r="K68" i="5"/>
  <c r="D69" i="5"/>
  <c r="E69" i="5"/>
  <c r="F69" i="5"/>
  <c r="J69" i="5"/>
  <c r="K69" i="5"/>
  <c r="D68" i="3"/>
  <c r="E68" i="3"/>
  <c r="F68" i="3"/>
  <c r="G68" i="3"/>
  <c r="J68" i="3"/>
  <c r="K68" i="3"/>
  <c r="D69" i="3"/>
  <c r="E69" i="3"/>
  <c r="F69" i="3"/>
  <c r="J69" i="3"/>
  <c r="K69" i="3"/>
  <c r="K69" i="1"/>
  <c r="L69" i="1" s="1"/>
  <c r="J69" i="1" s="1"/>
  <c r="F20" i="18" s="1"/>
  <c r="F10" i="18"/>
  <c r="K67" i="1"/>
  <c r="L67" i="1" s="1"/>
  <c r="J68" i="1"/>
  <c r="G68" i="15" s="1"/>
  <c r="K68" i="1"/>
  <c r="L68" i="1" s="1"/>
  <c r="G10" i="18" s="1"/>
  <c r="C67" i="15"/>
  <c r="D67" i="15"/>
  <c r="E67" i="15"/>
  <c r="F67" i="15"/>
  <c r="H67" i="15"/>
  <c r="J67" i="15"/>
  <c r="K67" i="15"/>
  <c r="C67" i="14"/>
  <c r="D67" i="14"/>
  <c r="E67" i="14"/>
  <c r="F67" i="14"/>
  <c r="H67" i="14"/>
  <c r="J67" i="14"/>
  <c r="K67" i="14"/>
  <c r="A67" i="14" s="1"/>
  <c r="C67" i="13"/>
  <c r="D67" i="13"/>
  <c r="E67" i="13"/>
  <c r="F67" i="13"/>
  <c r="H67" i="13"/>
  <c r="J67" i="13"/>
  <c r="K67" i="13"/>
  <c r="C67" i="12"/>
  <c r="D67" i="12"/>
  <c r="E67" i="12"/>
  <c r="F67" i="12"/>
  <c r="H67" i="12"/>
  <c r="J67" i="12"/>
  <c r="K67" i="12"/>
  <c r="C69" i="11"/>
  <c r="D69" i="11"/>
  <c r="E69" i="11"/>
  <c r="F69" i="11"/>
  <c r="H69" i="11"/>
  <c r="J69" i="11"/>
  <c r="K69" i="11"/>
  <c r="C67" i="10"/>
  <c r="D67" i="10"/>
  <c r="E67" i="10"/>
  <c r="F67" i="10"/>
  <c r="H67" i="10"/>
  <c r="J67" i="10"/>
  <c r="K67" i="10"/>
  <c r="C67" i="9"/>
  <c r="D67" i="9"/>
  <c r="E67" i="9"/>
  <c r="F67" i="9"/>
  <c r="H67" i="9"/>
  <c r="J67" i="9"/>
  <c r="K67" i="9"/>
  <c r="D67" i="8"/>
  <c r="E67" i="8"/>
  <c r="F67" i="8"/>
  <c r="H67" i="8"/>
  <c r="J67" i="8"/>
  <c r="K67" i="8"/>
  <c r="D67" i="7"/>
  <c r="E67" i="7"/>
  <c r="F67" i="7"/>
  <c r="H67" i="7"/>
  <c r="J67" i="7"/>
  <c r="K67" i="7"/>
  <c r="D67" i="17"/>
  <c r="E67" i="17"/>
  <c r="F67" i="17"/>
  <c r="H67" i="17"/>
  <c r="J67" i="17"/>
  <c r="K67" i="17"/>
  <c r="D67" i="16"/>
  <c r="E67" i="16"/>
  <c r="F67" i="16"/>
  <c r="H67" i="16"/>
  <c r="J67" i="16"/>
  <c r="K67" i="16"/>
  <c r="D67" i="6"/>
  <c r="E67" i="6"/>
  <c r="F67" i="6"/>
  <c r="H67" i="6"/>
  <c r="J67" i="6"/>
  <c r="K67" i="6"/>
  <c r="D68" i="4"/>
  <c r="E68" i="4"/>
  <c r="F68" i="4"/>
  <c r="H68" i="4"/>
  <c r="J68" i="4"/>
  <c r="K68" i="4"/>
  <c r="D67" i="5"/>
  <c r="E67" i="5"/>
  <c r="F67" i="5"/>
  <c r="J67" i="5"/>
  <c r="K67" i="5"/>
  <c r="D67" i="3"/>
  <c r="E67" i="3"/>
  <c r="F67" i="3"/>
  <c r="J67" i="3"/>
  <c r="K67" i="3"/>
  <c r="K66" i="7"/>
  <c r="K65" i="7"/>
  <c r="K64" i="7"/>
  <c r="K63" i="7"/>
  <c r="K62" i="7"/>
  <c r="K13" i="7"/>
  <c r="K61" i="7"/>
  <c r="K60" i="7"/>
  <c r="K59" i="7"/>
  <c r="K18" i="7"/>
  <c r="K58" i="7"/>
  <c r="K57" i="7"/>
  <c r="K16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17" i="7"/>
  <c r="K19" i="7"/>
  <c r="K32" i="7"/>
  <c r="K31" i="7"/>
  <c r="K30" i="7"/>
  <c r="K29" i="7"/>
  <c r="K28" i="7"/>
  <c r="K27" i="7"/>
  <c r="K26" i="7"/>
  <c r="K14" i="7"/>
  <c r="K25" i="7"/>
  <c r="K15" i="7"/>
  <c r="K24" i="7"/>
  <c r="K23" i="7"/>
  <c r="K22" i="7"/>
  <c r="K21" i="7"/>
  <c r="K20" i="7"/>
  <c r="K12" i="7"/>
  <c r="K11" i="7"/>
  <c r="K10" i="7"/>
  <c r="K8" i="7"/>
  <c r="K9" i="7"/>
  <c r="K6" i="7"/>
  <c r="K5" i="7"/>
  <c r="K4" i="7"/>
  <c r="K7" i="7"/>
  <c r="H24" i="14"/>
  <c r="J24" i="14"/>
  <c r="K24" i="14"/>
  <c r="H25" i="14"/>
  <c r="J25" i="14"/>
  <c r="K25" i="14"/>
  <c r="G26" i="14"/>
  <c r="H26" i="14"/>
  <c r="J26" i="14"/>
  <c r="K26" i="14"/>
  <c r="H27" i="14"/>
  <c r="J27" i="14"/>
  <c r="K27" i="14"/>
  <c r="H28" i="14"/>
  <c r="J28" i="14"/>
  <c r="K28" i="14"/>
  <c r="G8" i="14"/>
  <c r="H8" i="14"/>
  <c r="J8" i="14"/>
  <c r="K8" i="14"/>
  <c r="H9" i="14"/>
  <c r="J9" i="14"/>
  <c r="K9" i="14"/>
  <c r="H10" i="14"/>
  <c r="J10" i="14"/>
  <c r="K10" i="14"/>
  <c r="H11" i="14"/>
  <c r="J11" i="14"/>
  <c r="K11" i="14"/>
  <c r="H12" i="14"/>
  <c r="J12" i="14"/>
  <c r="K12" i="14"/>
  <c r="H13" i="14"/>
  <c r="J13" i="14"/>
  <c r="K13" i="14"/>
  <c r="H14" i="14"/>
  <c r="J14" i="14"/>
  <c r="K14" i="14"/>
  <c r="H15" i="14"/>
  <c r="J15" i="14"/>
  <c r="K15" i="14"/>
  <c r="H16" i="14"/>
  <c r="J16" i="14"/>
  <c r="K16" i="14"/>
  <c r="H17" i="14"/>
  <c r="J17" i="14"/>
  <c r="K17" i="14"/>
  <c r="H18" i="14"/>
  <c r="J18" i="14"/>
  <c r="K18" i="14"/>
  <c r="H19" i="14"/>
  <c r="J19" i="14"/>
  <c r="K19" i="14"/>
  <c r="H20" i="14"/>
  <c r="J20" i="14"/>
  <c r="K20" i="14"/>
  <c r="G11" i="13"/>
  <c r="H11" i="13"/>
  <c r="J11" i="13"/>
  <c r="K11" i="13"/>
  <c r="K2" i="1"/>
  <c r="L2" i="1" s="1"/>
  <c r="K3" i="1"/>
  <c r="L3" i="1" s="1"/>
  <c r="J3" i="1" s="1"/>
  <c r="K4" i="1"/>
  <c r="L4" i="1" s="1"/>
  <c r="J4" i="1" s="1"/>
  <c r="K5" i="1"/>
  <c r="L5" i="1" s="1"/>
  <c r="J5" i="1" s="1"/>
  <c r="J6" i="1"/>
  <c r="F6" i="18" s="1"/>
  <c r="K6" i="1"/>
  <c r="L6" i="1" s="1"/>
  <c r="K7" i="1"/>
  <c r="L7" i="1" s="1"/>
  <c r="J7" i="1" s="1"/>
  <c r="G19" i="14" s="1"/>
  <c r="J8" i="1"/>
  <c r="K8" i="1"/>
  <c r="L8" i="1" s="1"/>
  <c r="J9" i="1"/>
  <c r="K9" i="1"/>
  <c r="L9" i="1" s="1"/>
  <c r="K10" i="1"/>
  <c r="L10" i="1" s="1"/>
  <c r="J10" i="1" s="1"/>
  <c r="K11" i="1"/>
  <c r="L11" i="1" s="1"/>
  <c r="J11" i="1" s="1"/>
  <c r="G17" i="14" s="1"/>
  <c r="K12" i="1"/>
  <c r="L12" i="1" s="1"/>
  <c r="J12" i="1" s="1"/>
  <c r="G18" i="14" s="1"/>
  <c r="K13" i="1"/>
  <c r="L13" i="1" s="1"/>
  <c r="J13" i="1" s="1"/>
  <c r="K14" i="1"/>
  <c r="L14" i="1" s="1"/>
  <c r="J14" i="1" s="1"/>
  <c r="K15" i="1"/>
  <c r="L15" i="1" s="1"/>
  <c r="J15" i="1" s="1"/>
  <c r="K16" i="1"/>
  <c r="L16" i="1" s="1"/>
  <c r="J16" i="1" s="1"/>
  <c r="K17" i="1"/>
  <c r="L17" i="1" s="1"/>
  <c r="J17" i="1" s="1"/>
  <c r="K18" i="1"/>
  <c r="L18" i="1" s="1"/>
  <c r="J18" i="1" s="1"/>
  <c r="K19" i="1"/>
  <c r="L19" i="1" s="1"/>
  <c r="J19" i="1" s="1"/>
  <c r="K20" i="1"/>
  <c r="L20" i="1" s="1"/>
  <c r="J20" i="1" s="1"/>
  <c r="K21" i="1"/>
  <c r="L21" i="1" s="1"/>
  <c r="J21" i="1" s="1"/>
  <c r="K22" i="1"/>
  <c r="L22" i="1" s="1"/>
  <c r="J22" i="1" s="1"/>
  <c r="K23" i="1"/>
  <c r="L23" i="1" s="1"/>
  <c r="J23" i="1" s="1"/>
  <c r="J24" i="1"/>
  <c r="K24" i="1"/>
  <c r="L24" i="1" s="1"/>
  <c r="K25" i="1"/>
  <c r="L25" i="1" s="1"/>
  <c r="J25" i="1" s="1"/>
  <c r="K26" i="1"/>
  <c r="L26" i="1" s="1"/>
  <c r="J26" i="1" s="1"/>
  <c r="K27" i="1"/>
  <c r="L27" i="1" s="1"/>
  <c r="J27" i="1" s="1"/>
  <c r="K28" i="1"/>
  <c r="L28" i="1" s="1"/>
  <c r="J28" i="1" s="1"/>
  <c r="K29" i="1"/>
  <c r="L29" i="1" s="1"/>
  <c r="J29" i="1" s="1"/>
  <c r="K30" i="1"/>
  <c r="L30" i="1" s="1"/>
  <c r="J30" i="1" s="1"/>
  <c r="G24" i="14" s="1"/>
  <c r="K31" i="1"/>
  <c r="L31" i="1" s="1"/>
  <c r="J31" i="1" s="1"/>
  <c r="G25" i="14" s="1"/>
  <c r="K32" i="1"/>
  <c r="L32" i="1" s="1"/>
  <c r="J32" i="1" s="1"/>
  <c r="G11" i="14" s="1"/>
  <c r="K33" i="1"/>
  <c r="L33" i="1" s="1"/>
  <c r="J33" i="1" s="1"/>
  <c r="K34" i="1"/>
  <c r="L34" i="1" s="1"/>
  <c r="J34" i="1" s="1"/>
  <c r="G9" i="14" s="1"/>
  <c r="K35" i="1"/>
  <c r="L35" i="1" s="1"/>
  <c r="J35" i="1" s="1"/>
  <c r="G12" i="14" s="1"/>
  <c r="K36" i="1"/>
  <c r="L36" i="1" s="1"/>
  <c r="J36" i="1" s="1"/>
  <c r="G13" i="14" s="1"/>
  <c r="K37" i="1"/>
  <c r="L37" i="1" s="1"/>
  <c r="J37" i="1" s="1"/>
  <c r="G27" i="14" s="1"/>
  <c r="K38" i="1"/>
  <c r="L38" i="1" s="1"/>
  <c r="J38" i="1" s="1"/>
  <c r="K39" i="1"/>
  <c r="L39" i="1" s="1"/>
  <c r="J39" i="1" s="1"/>
  <c r="K40" i="1"/>
  <c r="L40" i="1" s="1"/>
  <c r="J40" i="1" s="1"/>
  <c r="K41" i="1"/>
  <c r="L41" i="1" s="1"/>
  <c r="J41" i="1" s="1"/>
  <c r="G16" i="14" s="1"/>
  <c r="K42" i="1"/>
  <c r="L42" i="1" s="1"/>
  <c r="J42" i="1" s="1"/>
  <c r="G10" i="14" s="1"/>
  <c r="K43" i="1"/>
  <c r="L43" i="1" s="1"/>
  <c r="J43" i="1" s="1"/>
  <c r="K44" i="1"/>
  <c r="L44" i="1" s="1"/>
  <c r="J44" i="1" s="1"/>
  <c r="K45" i="1"/>
  <c r="L45" i="1" s="1"/>
  <c r="J45" i="1" s="1"/>
  <c r="K46" i="1"/>
  <c r="L46" i="1" s="1"/>
  <c r="J46" i="1" s="1"/>
  <c r="K47" i="1"/>
  <c r="L47" i="1" s="1"/>
  <c r="J47" i="1" s="1"/>
  <c r="K48" i="1"/>
  <c r="L48" i="1" s="1"/>
  <c r="J48" i="1" s="1"/>
  <c r="K49" i="1"/>
  <c r="L49" i="1" s="1"/>
  <c r="J49" i="1" s="1"/>
  <c r="K50" i="1"/>
  <c r="L50" i="1" s="1"/>
  <c r="J50" i="1" s="1"/>
  <c r="G14" i="14" s="1"/>
  <c r="K51" i="1"/>
  <c r="L51" i="1" s="1"/>
  <c r="J51" i="1" s="1"/>
  <c r="K52" i="1"/>
  <c r="L52" i="1" s="1"/>
  <c r="J52" i="1" s="1"/>
  <c r="K53" i="1"/>
  <c r="L53" i="1" s="1"/>
  <c r="J53" i="1" s="1"/>
  <c r="K54" i="1"/>
  <c r="L54" i="1" s="1"/>
  <c r="J54" i="1" s="1"/>
  <c r="G28" i="14" s="1"/>
  <c r="K55" i="1"/>
  <c r="L55" i="1" s="1"/>
  <c r="J55" i="1" s="1"/>
  <c r="K56" i="1"/>
  <c r="L56" i="1" s="1"/>
  <c r="J56" i="1" s="1"/>
  <c r="K57" i="1"/>
  <c r="L57" i="1" s="1"/>
  <c r="J57" i="1" s="1"/>
  <c r="G20" i="14" s="1"/>
  <c r="K58" i="1"/>
  <c r="L58" i="1" s="1"/>
  <c r="J58" i="1" s="1"/>
  <c r="K59" i="1"/>
  <c r="L59" i="1" s="1"/>
  <c r="J59" i="1" s="1"/>
  <c r="K60" i="1"/>
  <c r="L60" i="1" s="1"/>
  <c r="J60" i="1" s="1"/>
  <c r="G6" i="5" s="1"/>
  <c r="K61" i="1"/>
  <c r="L61" i="1" s="1"/>
  <c r="J61" i="1" s="1"/>
  <c r="K62" i="1"/>
  <c r="L62" i="1" s="1"/>
  <c r="J62" i="1" s="1"/>
  <c r="K63" i="1"/>
  <c r="L63" i="1" s="1"/>
  <c r="J63" i="1" s="1"/>
  <c r="J65" i="1"/>
  <c r="K65" i="1"/>
  <c r="L65" i="1" s="1"/>
  <c r="J66" i="1"/>
  <c r="F70" i="18" s="1"/>
  <c r="K66" i="1"/>
  <c r="L66" i="1" s="1"/>
  <c r="K142" i="1"/>
  <c r="L142" i="1" s="1"/>
  <c r="J142" i="1" s="1"/>
  <c r="K143" i="1"/>
  <c r="L143" i="1" s="1"/>
  <c r="J143" i="1" s="1"/>
  <c r="K144" i="1"/>
  <c r="L144" i="1" s="1"/>
  <c r="J144" i="1" s="1"/>
  <c r="K145" i="1"/>
  <c r="L145" i="1" s="1"/>
  <c r="J145" i="1" s="1"/>
  <c r="K146" i="1"/>
  <c r="L146" i="1" s="1"/>
  <c r="J146" i="1" s="1"/>
  <c r="K147" i="1"/>
  <c r="L147" i="1" s="1"/>
  <c r="J147" i="1" s="1"/>
  <c r="K148" i="1"/>
  <c r="L148" i="1" s="1"/>
  <c r="J148" i="1" s="1"/>
  <c r="B2" i="18"/>
  <c r="F2" i="18"/>
  <c r="B5" i="18"/>
  <c r="B6" i="18"/>
  <c r="B8" i="18"/>
  <c r="F8" i="18"/>
  <c r="B9" i="18"/>
  <c r="F9" i="18"/>
  <c r="B11" i="18"/>
  <c r="B12" i="18"/>
  <c r="B13" i="18"/>
  <c r="B15" i="18"/>
  <c r="B16" i="18"/>
  <c r="B17" i="18"/>
  <c r="B19" i="18"/>
  <c r="B22" i="18"/>
  <c r="B23" i="18"/>
  <c r="B24" i="18"/>
  <c r="F26" i="18"/>
  <c r="B27" i="18"/>
  <c r="B28" i="18"/>
  <c r="B29" i="18"/>
  <c r="B30" i="18"/>
  <c r="B32" i="18"/>
  <c r="B33" i="18"/>
  <c r="B35" i="18"/>
  <c r="B38" i="18"/>
  <c r="B39" i="18"/>
  <c r="B41" i="18"/>
  <c r="B42" i="18"/>
  <c r="B44" i="18"/>
  <c r="B45" i="18"/>
  <c r="B47" i="18"/>
  <c r="B48" i="18"/>
  <c r="B49" i="18"/>
  <c r="B50" i="18"/>
  <c r="B51" i="18"/>
  <c r="B52" i="18"/>
  <c r="B53" i="18"/>
  <c r="B56" i="18"/>
  <c r="B58" i="18"/>
  <c r="B59" i="18"/>
  <c r="B62" i="18"/>
  <c r="B63" i="18"/>
  <c r="B64" i="18"/>
  <c r="B65" i="18"/>
  <c r="F68" i="18"/>
  <c r="G68" i="18"/>
  <c r="F69" i="18"/>
  <c r="J6" i="12"/>
  <c r="K6" i="12"/>
  <c r="J24" i="12"/>
  <c r="K24" i="12"/>
  <c r="J27" i="13"/>
  <c r="K27" i="13"/>
  <c r="C27" i="13"/>
  <c r="D27" i="13"/>
  <c r="E27" i="13"/>
  <c r="F27" i="13"/>
  <c r="H27" i="13"/>
  <c r="D5" i="8"/>
  <c r="E5" i="8"/>
  <c r="F5" i="8"/>
  <c r="D4" i="8"/>
  <c r="E4" i="8"/>
  <c r="F4" i="8"/>
  <c r="D2" i="8"/>
  <c r="E2" i="8"/>
  <c r="F2" i="8"/>
  <c r="D7" i="8"/>
  <c r="E7" i="8"/>
  <c r="F7" i="8"/>
  <c r="D3" i="8"/>
  <c r="E3" i="8"/>
  <c r="F3" i="8"/>
  <c r="D11" i="8"/>
  <c r="E11" i="8"/>
  <c r="F11" i="8"/>
  <c r="D13" i="8"/>
  <c r="E13" i="8"/>
  <c r="F13" i="8"/>
  <c r="D14" i="8"/>
  <c r="E14" i="8"/>
  <c r="F14" i="8"/>
  <c r="D16" i="8"/>
  <c r="E16" i="8"/>
  <c r="F16" i="8"/>
  <c r="D9" i="8"/>
  <c r="E9" i="8"/>
  <c r="F9" i="8"/>
  <c r="D17" i="8"/>
  <c r="E17" i="8"/>
  <c r="F17" i="8"/>
  <c r="D18" i="8"/>
  <c r="E18" i="8"/>
  <c r="F18" i="8"/>
  <c r="D19" i="8"/>
  <c r="E19" i="8"/>
  <c r="F19" i="8"/>
  <c r="D20" i="8"/>
  <c r="E20" i="8"/>
  <c r="F20" i="8"/>
  <c r="D22" i="8"/>
  <c r="E22" i="8"/>
  <c r="F22" i="8"/>
  <c r="D21" i="8"/>
  <c r="E21" i="8"/>
  <c r="F21" i="8"/>
  <c r="D24" i="8"/>
  <c r="E24" i="8"/>
  <c r="F24" i="8"/>
  <c r="D25" i="8"/>
  <c r="E25" i="8"/>
  <c r="F25" i="8"/>
  <c r="D26" i="8"/>
  <c r="E26" i="8"/>
  <c r="F26" i="8"/>
  <c r="G26" i="8"/>
  <c r="D28" i="8"/>
  <c r="E28" i="8"/>
  <c r="F28" i="8"/>
  <c r="D29" i="8"/>
  <c r="E29" i="8"/>
  <c r="F29" i="8"/>
  <c r="D27" i="8"/>
  <c r="E27" i="8"/>
  <c r="F27" i="8"/>
  <c r="D31" i="8"/>
  <c r="E31" i="8"/>
  <c r="F31" i="8"/>
  <c r="D32" i="8"/>
  <c r="E32" i="8"/>
  <c r="F32" i="8"/>
  <c r="D33" i="8"/>
  <c r="E33" i="8"/>
  <c r="F33" i="8"/>
  <c r="D34" i="8"/>
  <c r="E34" i="8"/>
  <c r="F34" i="8"/>
  <c r="D36" i="8"/>
  <c r="E36" i="8"/>
  <c r="F36" i="8"/>
  <c r="D35" i="8"/>
  <c r="E35" i="8"/>
  <c r="F35" i="8"/>
  <c r="D37" i="8"/>
  <c r="E37" i="8"/>
  <c r="F37" i="8"/>
  <c r="D38" i="8"/>
  <c r="E38" i="8"/>
  <c r="F38" i="8"/>
  <c r="D39" i="8"/>
  <c r="E39" i="8"/>
  <c r="F39" i="8"/>
  <c r="D40" i="8"/>
  <c r="E40" i="8"/>
  <c r="F40" i="8"/>
  <c r="D41" i="8"/>
  <c r="E41" i="8"/>
  <c r="F41" i="8"/>
  <c r="D42" i="8"/>
  <c r="E42" i="8"/>
  <c r="F42" i="8"/>
  <c r="D43" i="8"/>
  <c r="E43" i="8"/>
  <c r="F43" i="8"/>
  <c r="D47" i="8"/>
  <c r="E47" i="8"/>
  <c r="F47" i="8"/>
  <c r="D44" i="8"/>
  <c r="E44" i="8"/>
  <c r="F44" i="8"/>
  <c r="D45" i="8"/>
  <c r="E45" i="8"/>
  <c r="F45" i="8"/>
  <c r="D46" i="8"/>
  <c r="E46" i="8"/>
  <c r="F46" i="8"/>
  <c r="D12" i="8"/>
  <c r="E12" i="8"/>
  <c r="F12" i="8"/>
  <c r="D8" i="8"/>
  <c r="E8" i="8"/>
  <c r="F8" i="8"/>
  <c r="D48" i="8"/>
  <c r="E48" i="8"/>
  <c r="F48" i="8"/>
  <c r="D49" i="8"/>
  <c r="E49" i="8"/>
  <c r="F49" i="8"/>
  <c r="D50" i="8"/>
  <c r="E50" i="8"/>
  <c r="F50" i="8"/>
  <c r="D10" i="8"/>
  <c r="E10" i="8"/>
  <c r="F10" i="8"/>
  <c r="D51" i="8"/>
  <c r="E51" i="8"/>
  <c r="F51" i="8"/>
  <c r="D52" i="8"/>
  <c r="E52" i="8"/>
  <c r="F52" i="8"/>
  <c r="D53" i="8"/>
  <c r="E53" i="8"/>
  <c r="F53" i="8"/>
  <c r="D54" i="8"/>
  <c r="E54" i="8"/>
  <c r="F54" i="8"/>
  <c r="D55" i="8"/>
  <c r="E55" i="8"/>
  <c r="F55" i="8"/>
  <c r="D56" i="8"/>
  <c r="E56" i="8"/>
  <c r="F56" i="8"/>
  <c r="D57" i="8"/>
  <c r="E57" i="8"/>
  <c r="F57" i="8"/>
  <c r="D58" i="8"/>
  <c r="E58" i="8"/>
  <c r="F58" i="8"/>
  <c r="D59" i="8"/>
  <c r="E59" i="8"/>
  <c r="F59" i="8"/>
  <c r="D60" i="8"/>
  <c r="E60" i="8"/>
  <c r="F60" i="8"/>
  <c r="D61" i="8"/>
  <c r="E61" i="8"/>
  <c r="F61" i="8"/>
  <c r="D62" i="8"/>
  <c r="E62" i="8"/>
  <c r="F62" i="8"/>
  <c r="D63" i="8"/>
  <c r="E63" i="8"/>
  <c r="F63" i="8"/>
  <c r="D64" i="8"/>
  <c r="E64" i="8"/>
  <c r="F64" i="8"/>
  <c r="D65" i="8"/>
  <c r="E65" i="8"/>
  <c r="F65" i="8"/>
  <c r="D66" i="8"/>
  <c r="E66" i="8"/>
  <c r="F66" i="8"/>
  <c r="D15" i="8"/>
  <c r="E15" i="8"/>
  <c r="F15" i="8"/>
  <c r="D30" i="8"/>
  <c r="E30" i="8"/>
  <c r="F30" i="8"/>
  <c r="D23" i="8"/>
  <c r="E23" i="8"/>
  <c r="F23" i="8"/>
  <c r="F6" i="8"/>
  <c r="E6" i="8"/>
  <c r="D6" i="8"/>
  <c r="D17" i="9"/>
  <c r="E17" i="9"/>
  <c r="F17" i="9"/>
  <c r="D4" i="9"/>
  <c r="E4" i="9"/>
  <c r="F4" i="9"/>
  <c r="D5" i="9"/>
  <c r="E5" i="9"/>
  <c r="F5" i="9"/>
  <c r="D7" i="9"/>
  <c r="E7" i="9"/>
  <c r="F7" i="9"/>
  <c r="D8" i="9"/>
  <c r="E8" i="9"/>
  <c r="F8" i="9"/>
  <c r="D9" i="9"/>
  <c r="E9" i="9"/>
  <c r="F9" i="9"/>
  <c r="D10" i="9"/>
  <c r="E10" i="9"/>
  <c r="F10" i="9"/>
  <c r="D11" i="9"/>
  <c r="E11" i="9"/>
  <c r="F11" i="9"/>
  <c r="D12" i="9"/>
  <c r="E12" i="9"/>
  <c r="F12" i="9"/>
  <c r="D13" i="9"/>
  <c r="E13" i="9"/>
  <c r="F13" i="9"/>
  <c r="D14" i="9"/>
  <c r="E14" i="9"/>
  <c r="F14" i="9"/>
  <c r="D16" i="9"/>
  <c r="E16" i="9"/>
  <c r="F16" i="9"/>
  <c r="D15" i="9"/>
  <c r="E15" i="9"/>
  <c r="F15" i="9"/>
  <c r="D18" i="9"/>
  <c r="E18" i="9"/>
  <c r="F18" i="9"/>
  <c r="D19" i="9"/>
  <c r="E19" i="9"/>
  <c r="F19" i="9"/>
  <c r="G19" i="9"/>
  <c r="D20" i="9"/>
  <c r="E20" i="9"/>
  <c r="F20" i="9"/>
  <c r="D21" i="9"/>
  <c r="E21" i="9"/>
  <c r="F21" i="9"/>
  <c r="D22" i="9"/>
  <c r="E22" i="9"/>
  <c r="F22" i="9"/>
  <c r="D24" i="9"/>
  <c r="E24" i="9"/>
  <c r="F24" i="9"/>
  <c r="D25" i="9"/>
  <c r="E25" i="9"/>
  <c r="F25" i="9"/>
  <c r="D26" i="9"/>
  <c r="E26" i="9"/>
  <c r="F26" i="9"/>
  <c r="D27" i="9"/>
  <c r="E27" i="9"/>
  <c r="F27" i="9"/>
  <c r="D28" i="9"/>
  <c r="E28" i="9"/>
  <c r="F28" i="9"/>
  <c r="D29" i="9"/>
  <c r="E29" i="9"/>
  <c r="F29" i="9"/>
  <c r="D30" i="9"/>
  <c r="E30" i="9"/>
  <c r="F30" i="9"/>
  <c r="D31" i="9"/>
  <c r="E31" i="9"/>
  <c r="F31" i="9"/>
  <c r="D32" i="9"/>
  <c r="E32" i="9"/>
  <c r="F32" i="9"/>
  <c r="D33" i="9"/>
  <c r="E33" i="9"/>
  <c r="F33" i="9"/>
  <c r="D34" i="9"/>
  <c r="E34" i="9"/>
  <c r="F34" i="9"/>
  <c r="D35" i="9"/>
  <c r="E35" i="9"/>
  <c r="F35" i="9"/>
  <c r="D36" i="9"/>
  <c r="E36" i="9"/>
  <c r="F36" i="9"/>
  <c r="D37" i="9"/>
  <c r="E37" i="9"/>
  <c r="F37" i="9"/>
  <c r="D38" i="9"/>
  <c r="E38" i="9"/>
  <c r="F38" i="9"/>
  <c r="D46" i="9"/>
  <c r="E46" i="9"/>
  <c r="F46" i="9"/>
  <c r="D39" i="9"/>
  <c r="E39" i="9"/>
  <c r="F39" i="9"/>
  <c r="D40" i="9"/>
  <c r="E40" i="9"/>
  <c r="F40" i="9"/>
  <c r="D41" i="9"/>
  <c r="E41" i="9"/>
  <c r="F41" i="9"/>
  <c r="D42" i="9"/>
  <c r="E42" i="9"/>
  <c r="F42" i="9"/>
  <c r="D43" i="9"/>
  <c r="E43" i="9"/>
  <c r="F43" i="9"/>
  <c r="D3" i="9"/>
  <c r="E3" i="9"/>
  <c r="F3" i="9"/>
  <c r="D45" i="9"/>
  <c r="E45" i="9"/>
  <c r="F45" i="9"/>
  <c r="D44" i="9"/>
  <c r="E44" i="9"/>
  <c r="F44" i="9"/>
  <c r="D47" i="9"/>
  <c r="E47" i="9"/>
  <c r="F47" i="9"/>
  <c r="D48" i="9"/>
  <c r="E48" i="9"/>
  <c r="F48" i="9"/>
  <c r="D49" i="9"/>
  <c r="E49" i="9"/>
  <c r="F49" i="9"/>
  <c r="D50" i="9"/>
  <c r="E50" i="9"/>
  <c r="F50" i="9"/>
  <c r="D51" i="9"/>
  <c r="E51" i="9"/>
  <c r="F51" i="9"/>
  <c r="D52" i="9"/>
  <c r="E52" i="9"/>
  <c r="F52" i="9"/>
  <c r="D53" i="9"/>
  <c r="E53" i="9"/>
  <c r="F53" i="9"/>
  <c r="D54" i="9"/>
  <c r="E54" i="9"/>
  <c r="F54" i="9"/>
  <c r="D55" i="9"/>
  <c r="E55" i="9"/>
  <c r="F55" i="9"/>
  <c r="D56" i="9"/>
  <c r="E56" i="9"/>
  <c r="F56" i="9"/>
  <c r="D57" i="9"/>
  <c r="E57" i="9"/>
  <c r="F57" i="9"/>
  <c r="D58" i="9"/>
  <c r="E58" i="9"/>
  <c r="F58" i="9"/>
  <c r="D59" i="9"/>
  <c r="E59" i="9"/>
  <c r="F59" i="9"/>
  <c r="D60" i="9"/>
  <c r="E60" i="9"/>
  <c r="F60" i="9"/>
  <c r="D61" i="9"/>
  <c r="E61" i="9"/>
  <c r="F61" i="9"/>
  <c r="D62" i="9"/>
  <c r="E62" i="9"/>
  <c r="F62" i="9"/>
  <c r="D63" i="9"/>
  <c r="E63" i="9"/>
  <c r="F63" i="9"/>
  <c r="D64" i="9"/>
  <c r="E64" i="9"/>
  <c r="F64" i="9"/>
  <c r="D65" i="9"/>
  <c r="E65" i="9"/>
  <c r="F65" i="9"/>
  <c r="D66" i="9"/>
  <c r="E66" i="9"/>
  <c r="F66" i="9"/>
  <c r="D6" i="9"/>
  <c r="E6" i="9"/>
  <c r="F6" i="9"/>
  <c r="D23" i="9"/>
  <c r="E23" i="9"/>
  <c r="F23" i="9"/>
  <c r="F2" i="9"/>
  <c r="E2" i="9"/>
  <c r="D2" i="9"/>
  <c r="D5" i="10"/>
  <c r="E5" i="10"/>
  <c r="F5" i="10"/>
  <c r="D4" i="10"/>
  <c r="E4" i="10"/>
  <c r="F4" i="10"/>
  <c r="D2" i="10"/>
  <c r="E2" i="10"/>
  <c r="F2" i="10"/>
  <c r="D21" i="10"/>
  <c r="E21" i="10"/>
  <c r="F21" i="10"/>
  <c r="D8" i="10"/>
  <c r="E8" i="10"/>
  <c r="F8" i="10"/>
  <c r="D9" i="10"/>
  <c r="E9" i="10"/>
  <c r="F9" i="10"/>
  <c r="D11" i="10"/>
  <c r="E11" i="10"/>
  <c r="F11" i="10"/>
  <c r="D12" i="10"/>
  <c r="E12" i="10"/>
  <c r="F12" i="10"/>
  <c r="D13" i="10"/>
  <c r="E13" i="10"/>
  <c r="F13" i="10"/>
  <c r="D14" i="10"/>
  <c r="E14" i="10"/>
  <c r="F14" i="10"/>
  <c r="D15" i="10"/>
  <c r="E15" i="10"/>
  <c r="F15" i="10"/>
  <c r="D16" i="10"/>
  <c r="E16" i="10"/>
  <c r="F16" i="10"/>
  <c r="D17" i="10"/>
  <c r="E17" i="10"/>
  <c r="F17" i="10"/>
  <c r="D18" i="10"/>
  <c r="E18" i="10"/>
  <c r="F18" i="10"/>
  <c r="D20" i="10"/>
  <c r="E20" i="10"/>
  <c r="F20" i="10"/>
  <c r="D19" i="10"/>
  <c r="E19" i="10"/>
  <c r="F19" i="10"/>
  <c r="D49" i="10"/>
  <c r="E49" i="10"/>
  <c r="F49" i="10"/>
  <c r="D22" i="10"/>
  <c r="E22" i="10"/>
  <c r="F22" i="10"/>
  <c r="D23" i="10"/>
  <c r="E23" i="10"/>
  <c r="F23" i="10"/>
  <c r="D24" i="10"/>
  <c r="E24" i="10"/>
  <c r="F24" i="10"/>
  <c r="G24" i="10"/>
  <c r="D25" i="10"/>
  <c r="E25" i="10"/>
  <c r="F25" i="10"/>
  <c r="D26" i="10"/>
  <c r="E26" i="10"/>
  <c r="F26" i="10"/>
  <c r="D27" i="10"/>
  <c r="E27" i="10"/>
  <c r="F27" i="10"/>
  <c r="D29" i="10"/>
  <c r="E29" i="10"/>
  <c r="F29" i="10"/>
  <c r="D30" i="10"/>
  <c r="E30" i="10"/>
  <c r="F30" i="10"/>
  <c r="D31" i="10"/>
  <c r="E31" i="10"/>
  <c r="F31" i="10"/>
  <c r="D32" i="10"/>
  <c r="E32" i="10"/>
  <c r="F32" i="10"/>
  <c r="D33" i="10"/>
  <c r="E33" i="10"/>
  <c r="F33" i="10"/>
  <c r="D6" i="10"/>
  <c r="E6" i="10"/>
  <c r="F6" i="10"/>
  <c r="D34" i="10"/>
  <c r="E34" i="10"/>
  <c r="F34" i="10"/>
  <c r="D35" i="10"/>
  <c r="E35" i="10"/>
  <c r="F35" i="10"/>
  <c r="D36" i="10"/>
  <c r="E36" i="10"/>
  <c r="F36" i="10"/>
  <c r="D37" i="10"/>
  <c r="E37" i="10"/>
  <c r="F37" i="10"/>
  <c r="D38" i="10"/>
  <c r="E38" i="10"/>
  <c r="F38" i="10"/>
  <c r="D40" i="10"/>
  <c r="E40" i="10"/>
  <c r="F40" i="10"/>
  <c r="D39" i="10"/>
  <c r="E39" i="10"/>
  <c r="F39" i="10"/>
  <c r="D41" i="10"/>
  <c r="E41" i="10"/>
  <c r="F41" i="10"/>
  <c r="D42" i="10"/>
  <c r="E42" i="10"/>
  <c r="F42" i="10"/>
  <c r="D43" i="10"/>
  <c r="E43" i="10"/>
  <c r="F43" i="10"/>
  <c r="D44" i="10"/>
  <c r="E44" i="10"/>
  <c r="F44" i="10"/>
  <c r="D45" i="10"/>
  <c r="E45" i="10"/>
  <c r="F45" i="10"/>
  <c r="D46" i="10"/>
  <c r="E46" i="10"/>
  <c r="F46" i="10"/>
  <c r="D47" i="10"/>
  <c r="E47" i="10"/>
  <c r="F47" i="10"/>
  <c r="D48" i="10"/>
  <c r="E48" i="10"/>
  <c r="F48" i="10"/>
  <c r="D50" i="10"/>
  <c r="E50" i="10"/>
  <c r="F50" i="10"/>
  <c r="D51" i="10"/>
  <c r="E51" i="10"/>
  <c r="F51" i="10"/>
  <c r="D52" i="10"/>
  <c r="E52" i="10"/>
  <c r="F52" i="10"/>
  <c r="D53" i="10"/>
  <c r="E53" i="10"/>
  <c r="F53" i="10"/>
  <c r="D54" i="10"/>
  <c r="E54" i="10"/>
  <c r="F54" i="10"/>
  <c r="D55" i="10"/>
  <c r="E55" i="10"/>
  <c r="F55" i="10"/>
  <c r="D56" i="10"/>
  <c r="E56" i="10"/>
  <c r="F56" i="10"/>
  <c r="D57" i="10"/>
  <c r="E57" i="10"/>
  <c r="F57" i="10"/>
  <c r="D7" i="10"/>
  <c r="E7" i="10"/>
  <c r="F7" i="10"/>
  <c r="D58" i="10"/>
  <c r="E58" i="10"/>
  <c r="F58" i="10"/>
  <c r="D59" i="10"/>
  <c r="E59" i="10"/>
  <c r="F59" i="10"/>
  <c r="D60" i="10"/>
  <c r="E60" i="10"/>
  <c r="F60" i="10"/>
  <c r="D61" i="10"/>
  <c r="E61" i="10"/>
  <c r="F61" i="10"/>
  <c r="D62" i="10"/>
  <c r="E62" i="10"/>
  <c r="F62" i="10"/>
  <c r="D63" i="10"/>
  <c r="E63" i="10"/>
  <c r="F63" i="10"/>
  <c r="D64" i="10"/>
  <c r="E64" i="10"/>
  <c r="F64" i="10"/>
  <c r="D65" i="10"/>
  <c r="E65" i="10"/>
  <c r="F65" i="10"/>
  <c r="D66" i="10"/>
  <c r="E66" i="10"/>
  <c r="F66" i="10"/>
  <c r="D10" i="10"/>
  <c r="E10" i="10"/>
  <c r="F10" i="10"/>
  <c r="D28" i="10"/>
  <c r="E28" i="10"/>
  <c r="F28" i="10"/>
  <c r="F3" i="10"/>
  <c r="E3" i="10"/>
  <c r="D3" i="10"/>
  <c r="D35" i="11"/>
  <c r="E35" i="11"/>
  <c r="F35" i="11"/>
  <c r="D15" i="11"/>
  <c r="E15" i="11"/>
  <c r="F15" i="11"/>
  <c r="D2" i="11"/>
  <c r="E2" i="11"/>
  <c r="F2" i="11"/>
  <c r="D3" i="11"/>
  <c r="E3" i="11"/>
  <c r="F3" i="11"/>
  <c r="D5" i="11"/>
  <c r="E5" i="11"/>
  <c r="F5" i="11"/>
  <c r="D6" i="11"/>
  <c r="E6" i="11"/>
  <c r="F6" i="11"/>
  <c r="D7" i="11"/>
  <c r="E7" i="11"/>
  <c r="F7" i="11"/>
  <c r="D9" i="11"/>
  <c r="E9" i="11"/>
  <c r="F9" i="11"/>
  <c r="D8" i="11"/>
  <c r="E8" i="11"/>
  <c r="F8" i="11"/>
  <c r="D10" i="11"/>
  <c r="E10" i="11"/>
  <c r="F10" i="11"/>
  <c r="D11" i="11"/>
  <c r="E11" i="11"/>
  <c r="F11" i="11"/>
  <c r="D12" i="11"/>
  <c r="E12" i="11"/>
  <c r="F12" i="11"/>
  <c r="D14" i="11"/>
  <c r="E14" i="11"/>
  <c r="F14" i="11"/>
  <c r="D13" i="11"/>
  <c r="E13" i="11"/>
  <c r="F13" i="11"/>
  <c r="D16" i="11"/>
  <c r="E16" i="11"/>
  <c r="F16" i="11"/>
  <c r="D17" i="11"/>
  <c r="E17" i="11"/>
  <c r="F17" i="11"/>
  <c r="D18" i="11"/>
  <c r="E18" i="11"/>
  <c r="F18" i="11"/>
  <c r="G18" i="11"/>
  <c r="D21" i="11"/>
  <c r="E21" i="11"/>
  <c r="F21" i="11"/>
  <c r="D20" i="11"/>
  <c r="E20" i="11"/>
  <c r="F20" i="11"/>
  <c r="D19" i="11"/>
  <c r="E19" i="11"/>
  <c r="F19" i="11"/>
  <c r="D23" i="11"/>
  <c r="E23" i="11"/>
  <c r="F23" i="11"/>
  <c r="D24" i="11"/>
  <c r="E24" i="11"/>
  <c r="F24" i="11"/>
  <c r="D25" i="11"/>
  <c r="E25" i="11"/>
  <c r="F25" i="11"/>
  <c r="D26" i="11"/>
  <c r="E26" i="11"/>
  <c r="F26" i="11"/>
  <c r="D28" i="11"/>
  <c r="E28" i="11"/>
  <c r="F28" i="11"/>
  <c r="D27" i="11"/>
  <c r="E27" i="11"/>
  <c r="F27" i="11"/>
  <c r="D29" i="11"/>
  <c r="E29" i="11"/>
  <c r="F29" i="11"/>
  <c r="D30" i="11"/>
  <c r="E30" i="11"/>
  <c r="F30" i="11"/>
  <c r="D31" i="11"/>
  <c r="E31" i="11"/>
  <c r="F31" i="11"/>
  <c r="D32" i="11"/>
  <c r="E32" i="11"/>
  <c r="F32" i="11"/>
  <c r="D33" i="11"/>
  <c r="E33" i="11"/>
  <c r="F33" i="11"/>
  <c r="D34" i="11"/>
  <c r="E34" i="11"/>
  <c r="F34" i="11"/>
  <c r="D36" i="11"/>
  <c r="E36" i="11"/>
  <c r="F36" i="11"/>
  <c r="D37" i="11"/>
  <c r="E37" i="11"/>
  <c r="F37" i="11"/>
  <c r="D46" i="11"/>
  <c r="E46" i="11"/>
  <c r="F46" i="11"/>
  <c r="D38" i="11"/>
  <c r="E38" i="11"/>
  <c r="F38" i="11"/>
  <c r="D39" i="11"/>
  <c r="E39" i="11"/>
  <c r="F39" i="11"/>
  <c r="D40" i="11"/>
  <c r="E40" i="11"/>
  <c r="F40" i="11"/>
  <c r="D41" i="11"/>
  <c r="E41" i="11"/>
  <c r="F41" i="11"/>
  <c r="D42" i="11"/>
  <c r="E42" i="11"/>
  <c r="F42" i="11"/>
  <c r="D43" i="11"/>
  <c r="E43" i="11"/>
  <c r="F43" i="11"/>
  <c r="D44" i="11"/>
  <c r="E44" i="11"/>
  <c r="F44" i="11"/>
  <c r="D45" i="11"/>
  <c r="E45" i="11"/>
  <c r="F45" i="11"/>
  <c r="D47" i="11"/>
  <c r="E47" i="11"/>
  <c r="F47" i="11"/>
  <c r="D4" i="11"/>
  <c r="E4" i="11"/>
  <c r="F4" i="11"/>
  <c r="D49" i="11"/>
  <c r="E49" i="11"/>
  <c r="F49" i="11"/>
  <c r="D53" i="11"/>
  <c r="E53" i="11"/>
  <c r="F53" i="11"/>
  <c r="D22" i="11"/>
  <c r="E22" i="11"/>
  <c r="F22" i="11"/>
  <c r="D64" i="11"/>
  <c r="E64" i="11"/>
  <c r="F64" i="11"/>
  <c r="D62" i="11"/>
  <c r="E62" i="11"/>
  <c r="F62" i="11"/>
  <c r="D68" i="11"/>
  <c r="E68" i="11"/>
  <c r="F68" i="11"/>
  <c r="D48" i="11"/>
  <c r="E48" i="11"/>
  <c r="F48" i="11"/>
  <c r="D50" i="11"/>
  <c r="E50" i="11"/>
  <c r="F50" i="11"/>
  <c r="D51" i="11"/>
  <c r="E51" i="11"/>
  <c r="F51" i="11"/>
  <c r="D52" i="11"/>
  <c r="E52" i="11"/>
  <c r="F52" i="11"/>
  <c r="D54" i="11"/>
  <c r="E54" i="11"/>
  <c r="F54" i="11"/>
  <c r="D55" i="11"/>
  <c r="E55" i="11"/>
  <c r="F55" i="11"/>
  <c r="D56" i="11"/>
  <c r="E56" i="11"/>
  <c r="F56" i="11"/>
  <c r="D57" i="11"/>
  <c r="E57" i="11"/>
  <c r="F57" i="11"/>
  <c r="D58" i="11"/>
  <c r="E58" i="11"/>
  <c r="F58" i="11"/>
  <c r="D59" i="11"/>
  <c r="E59" i="11"/>
  <c r="F59" i="11"/>
  <c r="D60" i="11"/>
  <c r="E60" i="11"/>
  <c r="F60" i="11"/>
  <c r="D61" i="11"/>
  <c r="E61" i="11"/>
  <c r="F61" i="11"/>
  <c r="D63" i="11"/>
  <c r="E63" i="11"/>
  <c r="F63" i="11"/>
  <c r="D65" i="11"/>
  <c r="E65" i="11"/>
  <c r="F65" i="11"/>
  <c r="D66" i="11"/>
  <c r="E66" i="11"/>
  <c r="F66" i="11"/>
  <c r="D67" i="11"/>
  <c r="E67" i="11"/>
  <c r="F67" i="11"/>
  <c r="D4" i="12"/>
  <c r="E4" i="12"/>
  <c r="F4" i="12"/>
  <c r="D17" i="12"/>
  <c r="E17" i="12"/>
  <c r="F17" i="12"/>
  <c r="D3" i="12"/>
  <c r="E3" i="12"/>
  <c r="F3" i="12"/>
  <c r="D5" i="12"/>
  <c r="E5" i="12"/>
  <c r="F5" i="12"/>
  <c r="D7" i="12"/>
  <c r="E7" i="12"/>
  <c r="F7" i="12"/>
  <c r="D8" i="12"/>
  <c r="E8" i="12"/>
  <c r="F8" i="12"/>
  <c r="D9" i="12"/>
  <c r="E9" i="12"/>
  <c r="F9" i="12"/>
  <c r="D11" i="12"/>
  <c r="E11" i="12"/>
  <c r="F11" i="12"/>
  <c r="D10" i="12"/>
  <c r="E10" i="12"/>
  <c r="F10" i="12"/>
  <c r="D12" i="12"/>
  <c r="E12" i="12"/>
  <c r="F12" i="12"/>
  <c r="D13" i="12"/>
  <c r="E13" i="12"/>
  <c r="F13" i="12"/>
  <c r="D14" i="12"/>
  <c r="E14" i="12"/>
  <c r="F14" i="12"/>
  <c r="D16" i="12"/>
  <c r="E16" i="12"/>
  <c r="F16" i="12"/>
  <c r="D15" i="12"/>
  <c r="E15" i="12"/>
  <c r="F15" i="12"/>
  <c r="D47" i="12"/>
  <c r="E47" i="12"/>
  <c r="F47" i="12"/>
  <c r="D18" i="12"/>
  <c r="E18" i="12"/>
  <c r="F18" i="12"/>
  <c r="D19" i="12"/>
  <c r="E19" i="12"/>
  <c r="F19" i="12"/>
  <c r="D20" i="12"/>
  <c r="E20" i="12"/>
  <c r="F20" i="12"/>
  <c r="G20" i="12"/>
  <c r="D23" i="12"/>
  <c r="E23" i="12"/>
  <c r="F23" i="12"/>
  <c r="D22" i="12"/>
  <c r="E22" i="12"/>
  <c r="F22" i="12"/>
  <c r="D21" i="12"/>
  <c r="E21" i="12"/>
  <c r="F21" i="12"/>
  <c r="D25" i="12"/>
  <c r="E25" i="12"/>
  <c r="F25" i="12"/>
  <c r="D26" i="12"/>
  <c r="E26" i="12"/>
  <c r="F26" i="12"/>
  <c r="D27" i="12"/>
  <c r="E27" i="12"/>
  <c r="F27" i="12"/>
  <c r="D28" i="12"/>
  <c r="E28" i="12"/>
  <c r="F28" i="12"/>
  <c r="D30" i="12"/>
  <c r="E30" i="12"/>
  <c r="F30" i="12"/>
  <c r="D29" i="12"/>
  <c r="E29" i="12"/>
  <c r="F29" i="12"/>
  <c r="D31" i="12"/>
  <c r="E31" i="12"/>
  <c r="F31" i="12"/>
  <c r="D32" i="12"/>
  <c r="E32" i="12"/>
  <c r="F32" i="12"/>
  <c r="D33" i="12"/>
  <c r="E33" i="12"/>
  <c r="F33" i="12"/>
  <c r="D34" i="12"/>
  <c r="E34" i="12"/>
  <c r="F34" i="12"/>
  <c r="D35" i="12"/>
  <c r="E35" i="12"/>
  <c r="F35" i="12"/>
  <c r="D36" i="12"/>
  <c r="E36" i="12"/>
  <c r="F36" i="12"/>
  <c r="D37" i="12"/>
  <c r="E37" i="12"/>
  <c r="F37" i="12"/>
  <c r="D38" i="12"/>
  <c r="E38" i="12"/>
  <c r="F38" i="12"/>
  <c r="D39" i="12"/>
  <c r="E39" i="12"/>
  <c r="F39" i="12"/>
  <c r="D40" i="12"/>
  <c r="E40" i="12"/>
  <c r="F40" i="12"/>
  <c r="D41" i="12"/>
  <c r="E41" i="12"/>
  <c r="F41" i="12"/>
  <c r="D42" i="12"/>
  <c r="E42" i="12"/>
  <c r="F42" i="12"/>
  <c r="D43" i="12"/>
  <c r="E43" i="12"/>
  <c r="F43" i="12"/>
  <c r="D44" i="12"/>
  <c r="E44" i="12"/>
  <c r="F44" i="12"/>
  <c r="D45" i="12"/>
  <c r="E45" i="12"/>
  <c r="F45" i="12"/>
  <c r="D46" i="12"/>
  <c r="E46" i="12"/>
  <c r="F46" i="12"/>
  <c r="D48" i="12"/>
  <c r="E48" i="12"/>
  <c r="F48" i="12"/>
  <c r="D49" i="12"/>
  <c r="E49" i="12"/>
  <c r="F49" i="12"/>
  <c r="D50" i="12"/>
  <c r="E50" i="12"/>
  <c r="F50" i="12"/>
  <c r="D51" i="12"/>
  <c r="E51" i="12"/>
  <c r="F51" i="12"/>
  <c r="D52" i="12"/>
  <c r="E52" i="12"/>
  <c r="F52" i="12"/>
  <c r="D53" i="12"/>
  <c r="E53" i="12"/>
  <c r="F53" i="12"/>
  <c r="D54" i="12"/>
  <c r="E54" i="12"/>
  <c r="F54" i="12"/>
  <c r="D55" i="12"/>
  <c r="E55" i="12"/>
  <c r="F55" i="12"/>
  <c r="D56" i="12"/>
  <c r="E56" i="12"/>
  <c r="F56" i="12"/>
  <c r="D57" i="12"/>
  <c r="E57" i="12"/>
  <c r="F57" i="12"/>
  <c r="D58" i="12"/>
  <c r="E58" i="12"/>
  <c r="F58" i="12"/>
  <c r="D59" i="12"/>
  <c r="E59" i="12"/>
  <c r="F59" i="12"/>
  <c r="D60" i="12"/>
  <c r="E60" i="12"/>
  <c r="F60" i="12"/>
  <c r="D61" i="12"/>
  <c r="E61" i="12"/>
  <c r="F61" i="12"/>
  <c r="D63" i="12"/>
  <c r="E63" i="12"/>
  <c r="F63" i="12"/>
  <c r="D62" i="12"/>
  <c r="E62" i="12"/>
  <c r="F62" i="12"/>
  <c r="D64" i="12"/>
  <c r="E64" i="12"/>
  <c r="F64" i="12"/>
  <c r="D65" i="12"/>
  <c r="E65" i="12"/>
  <c r="F65" i="12"/>
  <c r="D66" i="12"/>
  <c r="E66" i="12"/>
  <c r="F66" i="12"/>
  <c r="D6" i="12"/>
  <c r="E6" i="12"/>
  <c r="F6" i="12"/>
  <c r="D24" i="12"/>
  <c r="E24" i="12"/>
  <c r="F24" i="12"/>
  <c r="F2" i="12"/>
  <c r="E2" i="12"/>
  <c r="D2" i="12"/>
  <c r="D3" i="13"/>
  <c r="E3" i="13"/>
  <c r="F3" i="13"/>
  <c r="D4" i="13"/>
  <c r="E4" i="13"/>
  <c r="F4" i="13"/>
  <c r="D7" i="13"/>
  <c r="E7" i="13"/>
  <c r="F7" i="13"/>
  <c r="D5" i="13"/>
  <c r="E5" i="13"/>
  <c r="F5" i="13"/>
  <c r="D8" i="13"/>
  <c r="E8" i="13"/>
  <c r="F8" i="13"/>
  <c r="D22" i="13"/>
  <c r="E22" i="13"/>
  <c r="F22" i="13"/>
  <c r="D9" i="13"/>
  <c r="E9" i="13"/>
  <c r="F9" i="13"/>
  <c r="D10" i="13"/>
  <c r="E10" i="13"/>
  <c r="F10" i="13"/>
  <c r="D12" i="13"/>
  <c r="E12" i="13"/>
  <c r="F12" i="13"/>
  <c r="D13" i="13"/>
  <c r="E13" i="13"/>
  <c r="F13" i="13"/>
  <c r="D14" i="13"/>
  <c r="E14" i="13"/>
  <c r="F14" i="13"/>
  <c r="D16" i="13"/>
  <c r="E16" i="13"/>
  <c r="F16" i="13"/>
  <c r="D15" i="13"/>
  <c r="E15" i="13"/>
  <c r="F15" i="13"/>
  <c r="D17" i="13"/>
  <c r="E17" i="13"/>
  <c r="F17" i="13"/>
  <c r="D18" i="13"/>
  <c r="E18" i="13"/>
  <c r="F18" i="13"/>
  <c r="D19" i="13"/>
  <c r="E19" i="13"/>
  <c r="F19" i="13"/>
  <c r="D20" i="13"/>
  <c r="E20" i="13"/>
  <c r="F20" i="13"/>
  <c r="D21" i="13"/>
  <c r="E21" i="13"/>
  <c r="F21" i="13"/>
  <c r="D48" i="13"/>
  <c r="E48" i="13"/>
  <c r="F48" i="13"/>
  <c r="D23" i="13"/>
  <c r="E23" i="13"/>
  <c r="F23" i="13"/>
  <c r="D24" i="13"/>
  <c r="E24" i="13"/>
  <c r="F24" i="13"/>
  <c r="D25" i="13"/>
  <c r="E25" i="13"/>
  <c r="F25" i="13"/>
  <c r="G25" i="13"/>
  <c r="D26" i="13"/>
  <c r="E26" i="13"/>
  <c r="F26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D6" i="13"/>
  <c r="E6" i="13"/>
  <c r="F6" i="13"/>
  <c r="D32" i="13"/>
  <c r="E32" i="13"/>
  <c r="F32" i="13"/>
  <c r="D33" i="13"/>
  <c r="E33" i="13"/>
  <c r="F33" i="13"/>
  <c r="D34" i="13"/>
  <c r="E34" i="13"/>
  <c r="F34" i="13"/>
  <c r="D35" i="13"/>
  <c r="E35" i="13"/>
  <c r="F35" i="13"/>
  <c r="D37" i="13"/>
  <c r="E37" i="13"/>
  <c r="F37" i="13"/>
  <c r="D36" i="13"/>
  <c r="E36" i="13"/>
  <c r="F36" i="13"/>
  <c r="D38" i="13"/>
  <c r="E38" i="13"/>
  <c r="F38" i="13"/>
  <c r="D39" i="13"/>
  <c r="E39" i="13"/>
  <c r="F39" i="13"/>
  <c r="D40" i="13"/>
  <c r="E40" i="13"/>
  <c r="F40" i="13"/>
  <c r="D41" i="13"/>
  <c r="E41" i="13"/>
  <c r="F41" i="13"/>
  <c r="D42" i="13"/>
  <c r="E42" i="13"/>
  <c r="F42" i="13"/>
  <c r="D43" i="13"/>
  <c r="E43" i="13"/>
  <c r="F43" i="13"/>
  <c r="D44" i="13"/>
  <c r="E44" i="13"/>
  <c r="F44" i="13"/>
  <c r="D45" i="13"/>
  <c r="E45" i="13"/>
  <c r="F45" i="13"/>
  <c r="D46" i="13"/>
  <c r="E46" i="13"/>
  <c r="F46" i="13"/>
  <c r="D47" i="13"/>
  <c r="E47" i="13"/>
  <c r="F47" i="13"/>
  <c r="D49" i="13"/>
  <c r="E49" i="13"/>
  <c r="F49" i="13"/>
  <c r="D50" i="13"/>
  <c r="E50" i="13"/>
  <c r="F50" i="13"/>
  <c r="D51" i="13"/>
  <c r="E51" i="13"/>
  <c r="F51" i="13"/>
  <c r="D52" i="13"/>
  <c r="E52" i="13"/>
  <c r="F52" i="13"/>
  <c r="D53" i="13"/>
  <c r="E53" i="13"/>
  <c r="F53" i="13"/>
  <c r="D54" i="13"/>
  <c r="E54" i="13"/>
  <c r="F54" i="13"/>
  <c r="D55" i="13"/>
  <c r="E55" i="13"/>
  <c r="F55" i="13"/>
  <c r="D56" i="13"/>
  <c r="E56" i="13"/>
  <c r="F56" i="13"/>
  <c r="D57" i="13"/>
  <c r="E57" i="13"/>
  <c r="F57" i="13"/>
  <c r="D58" i="13"/>
  <c r="E58" i="13"/>
  <c r="F58" i="13"/>
  <c r="D59" i="13"/>
  <c r="E59" i="13"/>
  <c r="F59" i="13"/>
  <c r="D60" i="13"/>
  <c r="E60" i="13"/>
  <c r="F60" i="13"/>
  <c r="D61" i="13"/>
  <c r="E61" i="13"/>
  <c r="F61" i="13"/>
  <c r="D63" i="13"/>
  <c r="E63" i="13"/>
  <c r="F63" i="13"/>
  <c r="D62" i="13"/>
  <c r="E62" i="13"/>
  <c r="F62" i="13"/>
  <c r="D64" i="13"/>
  <c r="E64" i="13"/>
  <c r="F64" i="13"/>
  <c r="D65" i="13"/>
  <c r="E65" i="13"/>
  <c r="F65" i="13"/>
  <c r="D66" i="13"/>
  <c r="E66" i="13"/>
  <c r="F66" i="13"/>
  <c r="D11" i="13"/>
  <c r="E11" i="13"/>
  <c r="F11" i="13"/>
  <c r="F2" i="13"/>
  <c r="E2" i="13"/>
  <c r="D2" i="13"/>
  <c r="D5" i="14"/>
  <c r="E5" i="14"/>
  <c r="F5" i="14"/>
  <c r="D6" i="14"/>
  <c r="E6" i="14"/>
  <c r="F6" i="14"/>
  <c r="D7" i="14"/>
  <c r="E7" i="14"/>
  <c r="F7" i="14"/>
  <c r="D9" i="14"/>
  <c r="E9" i="14"/>
  <c r="F9" i="14"/>
  <c r="D10" i="14"/>
  <c r="E10" i="14"/>
  <c r="F10" i="14"/>
  <c r="D11" i="14"/>
  <c r="E11" i="14"/>
  <c r="F11" i="14"/>
  <c r="D12" i="14"/>
  <c r="E12" i="14"/>
  <c r="F12" i="14"/>
  <c r="D13" i="14"/>
  <c r="E13" i="14"/>
  <c r="F13" i="14"/>
  <c r="D14" i="14"/>
  <c r="E14" i="14"/>
  <c r="F14" i="14"/>
  <c r="D15" i="14"/>
  <c r="E15" i="14"/>
  <c r="F15" i="14"/>
  <c r="D16" i="14"/>
  <c r="E16" i="14"/>
  <c r="F16" i="14"/>
  <c r="D18" i="14"/>
  <c r="E18" i="14"/>
  <c r="F18" i="14"/>
  <c r="D17" i="14"/>
  <c r="E17" i="14"/>
  <c r="F17" i="14"/>
  <c r="D50" i="14"/>
  <c r="E50" i="14"/>
  <c r="F50" i="14"/>
  <c r="D20" i="14"/>
  <c r="E20" i="14"/>
  <c r="F20" i="14"/>
  <c r="D21" i="14"/>
  <c r="E21" i="14"/>
  <c r="F21" i="14"/>
  <c r="D22" i="14"/>
  <c r="E22" i="14"/>
  <c r="F22" i="14"/>
  <c r="G22" i="14"/>
  <c r="D24" i="14"/>
  <c r="E24" i="14"/>
  <c r="F24" i="14"/>
  <c r="D23" i="14"/>
  <c r="E23" i="14"/>
  <c r="F23" i="14"/>
  <c r="D25" i="14"/>
  <c r="E25" i="14"/>
  <c r="F25" i="14"/>
  <c r="D27" i="14"/>
  <c r="E27" i="14"/>
  <c r="F27" i="14"/>
  <c r="D28" i="14"/>
  <c r="E28" i="14"/>
  <c r="F28" i="14"/>
  <c r="D29" i="14"/>
  <c r="E29" i="14"/>
  <c r="F29" i="14"/>
  <c r="D30" i="14"/>
  <c r="E30" i="14"/>
  <c r="F30" i="14"/>
  <c r="D31" i="14"/>
  <c r="E31" i="14"/>
  <c r="F31" i="14"/>
  <c r="D32" i="14"/>
  <c r="E32" i="14"/>
  <c r="F32" i="14"/>
  <c r="D33" i="14"/>
  <c r="E33" i="14"/>
  <c r="F33" i="14"/>
  <c r="D34" i="14"/>
  <c r="E34" i="14"/>
  <c r="F34" i="14"/>
  <c r="D35" i="14"/>
  <c r="E35" i="14"/>
  <c r="F35" i="14"/>
  <c r="D36" i="14"/>
  <c r="E36" i="14"/>
  <c r="F36" i="14"/>
  <c r="D37" i="14"/>
  <c r="E37" i="14"/>
  <c r="F37" i="14"/>
  <c r="D38" i="14"/>
  <c r="E38" i="14"/>
  <c r="F38" i="14"/>
  <c r="D39" i="14"/>
  <c r="E39" i="14"/>
  <c r="F39" i="14"/>
  <c r="D40" i="14"/>
  <c r="E40" i="14"/>
  <c r="F40" i="14"/>
  <c r="D41" i="14"/>
  <c r="E41" i="14"/>
  <c r="F41" i="14"/>
  <c r="D42" i="14"/>
  <c r="E42" i="14"/>
  <c r="F42" i="14"/>
  <c r="D43" i="14"/>
  <c r="E43" i="14"/>
  <c r="F43" i="14"/>
  <c r="D44" i="14"/>
  <c r="E44" i="14"/>
  <c r="F44" i="14"/>
  <c r="D45" i="14"/>
  <c r="E45" i="14"/>
  <c r="F45" i="14"/>
  <c r="D46" i="14"/>
  <c r="E46" i="14"/>
  <c r="F46" i="14"/>
  <c r="D47" i="14"/>
  <c r="E47" i="14"/>
  <c r="F47" i="14"/>
  <c r="D48" i="14"/>
  <c r="E48" i="14"/>
  <c r="F48" i="14"/>
  <c r="D49" i="14"/>
  <c r="E49" i="14"/>
  <c r="F49" i="14"/>
  <c r="D51" i="14"/>
  <c r="E51" i="14"/>
  <c r="F51" i="14"/>
  <c r="D52" i="14"/>
  <c r="E52" i="14"/>
  <c r="F52" i="14"/>
  <c r="D53" i="14"/>
  <c r="E53" i="14"/>
  <c r="F53" i="14"/>
  <c r="D54" i="14"/>
  <c r="E54" i="14"/>
  <c r="F54" i="14"/>
  <c r="D55" i="14"/>
  <c r="E55" i="14"/>
  <c r="F55" i="14"/>
  <c r="D56" i="14"/>
  <c r="E56" i="14"/>
  <c r="F56" i="14"/>
  <c r="D57" i="14"/>
  <c r="E57" i="14"/>
  <c r="F57" i="14"/>
  <c r="D3" i="14"/>
  <c r="E3" i="14"/>
  <c r="F3" i="14"/>
  <c r="D58" i="14"/>
  <c r="E58" i="14"/>
  <c r="F58" i="14"/>
  <c r="D59" i="14"/>
  <c r="E59" i="14"/>
  <c r="F59" i="14"/>
  <c r="D60" i="14"/>
  <c r="E60" i="14"/>
  <c r="F60" i="14"/>
  <c r="D61" i="14"/>
  <c r="E61" i="14"/>
  <c r="F61" i="14"/>
  <c r="D62" i="14"/>
  <c r="E62" i="14"/>
  <c r="F62" i="14"/>
  <c r="D4" i="14"/>
  <c r="E4" i="14"/>
  <c r="F4" i="14"/>
  <c r="D63" i="14"/>
  <c r="E63" i="14"/>
  <c r="F63" i="14"/>
  <c r="D64" i="14"/>
  <c r="E64" i="14"/>
  <c r="F64" i="14"/>
  <c r="D65" i="14"/>
  <c r="E65" i="14"/>
  <c r="F65" i="14"/>
  <c r="D66" i="14"/>
  <c r="E66" i="14"/>
  <c r="F66" i="14"/>
  <c r="D19" i="14"/>
  <c r="E19" i="14"/>
  <c r="F19" i="14"/>
  <c r="D8" i="14"/>
  <c r="E8" i="14"/>
  <c r="F8" i="14"/>
  <c r="D26" i="14"/>
  <c r="E26" i="14"/>
  <c r="F26" i="14"/>
  <c r="F2" i="14"/>
  <c r="E2" i="14"/>
  <c r="D2" i="14"/>
  <c r="D3" i="15"/>
  <c r="E3" i="15"/>
  <c r="F3" i="15"/>
  <c r="D4" i="15"/>
  <c r="E4" i="15"/>
  <c r="F4" i="15"/>
  <c r="D6" i="15"/>
  <c r="E6" i="15"/>
  <c r="F6" i="15"/>
  <c r="D7" i="15"/>
  <c r="E7" i="15"/>
  <c r="F7" i="15"/>
  <c r="D8" i="15"/>
  <c r="E8" i="15"/>
  <c r="F8" i="15"/>
  <c r="D9" i="15"/>
  <c r="E9" i="15"/>
  <c r="F9" i="15"/>
  <c r="D10" i="15"/>
  <c r="E10" i="15"/>
  <c r="F10" i="15"/>
  <c r="D11" i="15"/>
  <c r="E11" i="15"/>
  <c r="F11" i="15"/>
  <c r="D12" i="15"/>
  <c r="E12" i="15"/>
  <c r="F12" i="15"/>
  <c r="D13" i="15"/>
  <c r="E13" i="15"/>
  <c r="F13" i="15"/>
  <c r="D15" i="15"/>
  <c r="E15" i="15"/>
  <c r="F15" i="15"/>
  <c r="D14" i="15"/>
  <c r="E14" i="15"/>
  <c r="F14" i="15"/>
  <c r="D46" i="15"/>
  <c r="E46" i="15"/>
  <c r="F46" i="15"/>
  <c r="D17" i="15"/>
  <c r="E17" i="15"/>
  <c r="F17" i="15"/>
  <c r="D18" i="15"/>
  <c r="E18" i="15"/>
  <c r="F18" i="15"/>
  <c r="D19" i="15"/>
  <c r="E19" i="15"/>
  <c r="F19" i="15"/>
  <c r="G19" i="15"/>
  <c r="D20" i="15"/>
  <c r="E20" i="15"/>
  <c r="F20" i="15"/>
  <c r="D21" i="15"/>
  <c r="E21" i="15"/>
  <c r="F21" i="15"/>
  <c r="D22" i="15"/>
  <c r="E22" i="15"/>
  <c r="F22" i="15"/>
  <c r="D24" i="15"/>
  <c r="E24" i="15"/>
  <c r="F24" i="15"/>
  <c r="D25" i="15"/>
  <c r="E25" i="15"/>
  <c r="F25" i="15"/>
  <c r="D26" i="15"/>
  <c r="E26" i="15"/>
  <c r="F26" i="15"/>
  <c r="D27" i="15"/>
  <c r="E27" i="15"/>
  <c r="F27" i="15"/>
  <c r="D28" i="15"/>
  <c r="E28" i="15"/>
  <c r="F28" i="15"/>
  <c r="D29" i="15"/>
  <c r="E29" i="15"/>
  <c r="F29" i="15"/>
  <c r="D30" i="15"/>
  <c r="E30" i="15"/>
  <c r="F30" i="15"/>
  <c r="D31" i="15"/>
  <c r="E31" i="15"/>
  <c r="F31" i="15"/>
  <c r="D32" i="15"/>
  <c r="E32" i="15"/>
  <c r="F32" i="15"/>
  <c r="D33" i="15"/>
  <c r="E33" i="15"/>
  <c r="F33" i="15"/>
  <c r="D35" i="15"/>
  <c r="E35" i="15"/>
  <c r="F35" i="15"/>
  <c r="D34" i="15"/>
  <c r="E34" i="15"/>
  <c r="F34" i="15"/>
  <c r="D36" i="15"/>
  <c r="E36" i="15"/>
  <c r="F36" i="15"/>
  <c r="D37" i="15"/>
  <c r="E37" i="15"/>
  <c r="F37" i="15"/>
  <c r="D38" i="15"/>
  <c r="E38" i="15"/>
  <c r="F38" i="15"/>
  <c r="D39" i="15"/>
  <c r="E39" i="15"/>
  <c r="F39" i="15"/>
  <c r="D40" i="15"/>
  <c r="E40" i="15"/>
  <c r="F40" i="15"/>
  <c r="D41" i="15"/>
  <c r="E41" i="15"/>
  <c r="F41" i="15"/>
  <c r="D42" i="15"/>
  <c r="E42" i="15"/>
  <c r="F42" i="15"/>
  <c r="D43" i="15"/>
  <c r="E43" i="15"/>
  <c r="F43" i="15"/>
  <c r="D44" i="15"/>
  <c r="E44" i="15"/>
  <c r="F44" i="15"/>
  <c r="D45" i="15"/>
  <c r="E45" i="15"/>
  <c r="F45" i="15"/>
  <c r="D47" i="15"/>
  <c r="E47" i="15"/>
  <c r="F47" i="15"/>
  <c r="D48" i="15"/>
  <c r="E48" i="15"/>
  <c r="F48" i="15"/>
  <c r="D49" i="15"/>
  <c r="E49" i="15"/>
  <c r="F49" i="15"/>
  <c r="D50" i="15"/>
  <c r="E50" i="15"/>
  <c r="F50" i="15"/>
  <c r="D51" i="15"/>
  <c r="E51" i="15"/>
  <c r="F51" i="15"/>
  <c r="D52" i="15"/>
  <c r="E52" i="15"/>
  <c r="F52" i="15"/>
  <c r="D53" i="15"/>
  <c r="E53" i="15"/>
  <c r="F53" i="15"/>
  <c r="D54" i="15"/>
  <c r="E54" i="15"/>
  <c r="F54" i="15"/>
  <c r="D55" i="15"/>
  <c r="E55" i="15"/>
  <c r="F55" i="15"/>
  <c r="D56" i="15"/>
  <c r="E56" i="15"/>
  <c r="F56" i="15"/>
  <c r="D57" i="15"/>
  <c r="E57" i="15"/>
  <c r="F57" i="15"/>
  <c r="D58" i="15"/>
  <c r="E58" i="15"/>
  <c r="F58" i="15"/>
  <c r="D59" i="15"/>
  <c r="E59" i="15"/>
  <c r="F59" i="15"/>
  <c r="D60" i="15"/>
  <c r="E60" i="15"/>
  <c r="F60" i="15"/>
  <c r="D61" i="15"/>
  <c r="E61" i="15"/>
  <c r="F61" i="15"/>
  <c r="D62" i="15"/>
  <c r="E62" i="15"/>
  <c r="F62" i="15"/>
  <c r="D63" i="15"/>
  <c r="E63" i="15"/>
  <c r="F63" i="15"/>
  <c r="D64" i="15"/>
  <c r="E64" i="15"/>
  <c r="F64" i="15"/>
  <c r="D65" i="15"/>
  <c r="E65" i="15"/>
  <c r="F65" i="15"/>
  <c r="D66" i="15"/>
  <c r="E66" i="15"/>
  <c r="F66" i="15"/>
  <c r="D16" i="15"/>
  <c r="E16" i="15"/>
  <c r="F16" i="15"/>
  <c r="D5" i="15"/>
  <c r="E5" i="15"/>
  <c r="F5" i="15"/>
  <c r="D23" i="15"/>
  <c r="E23" i="15"/>
  <c r="F23" i="15"/>
  <c r="F2" i="15"/>
  <c r="E2" i="15"/>
  <c r="D2" i="15"/>
  <c r="F33" i="7"/>
  <c r="E33" i="7"/>
  <c r="D33" i="7"/>
  <c r="F23" i="7"/>
  <c r="E23" i="7"/>
  <c r="D23" i="7"/>
  <c r="F28" i="7"/>
  <c r="E28" i="7"/>
  <c r="D28" i="7"/>
  <c r="F66" i="7"/>
  <c r="E66" i="7"/>
  <c r="D66" i="7"/>
  <c r="F65" i="7"/>
  <c r="E65" i="7"/>
  <c r="D65" i="7"/>
  <c r="F64" i="7"/>
  <c r="E64" i="7"/>
  <c r="D64" i="7"/>
  <c r="F63" i="7"/>
  <c r="E63" i="7"/>
  <c r="D63" i="7"/>
  <c r="F11" i="7"/>
  <c r="E11" i="7"/>
  <c r="D11" i="7"/>
  <c r="F62" i="7"/>
  <c r="E62" i="7"/>
  <c r="D62" i="7"/>
  <c r="F13" i="7"/>
  <c r="E13" i="7"/>
  <c r="D13" i="7"/>
  <c r="F61" i="7"/>
  <c r="E61" i="7"/>
  <c r="D61" i="7"/>
  <c r="F60" i="7"/>
  <c r="E60" i="7"/>
  <c r="D60" i="7"/>
  <c r="F59" i="7"/>
  <c r="E59" i="7"/>
  <c r="D59" i="7"/>
  <c r="F18" i="7"/>
  <c r="E18" i="7"/>
  <c r="D18" i="7"/>
  <c r="F58" i="7"/>
  <c r="E58" i="7"/>
  <c r="D58" i="7"/>
  <c r="F57" i="7"/>
  <c r="E57" i="7"/>
  <c r="D57" i="7"/>
  <c r="F16" i="7"/>
  <c r="E16" i="7"/>
  <c r="D16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D2" i="7"/>
  <c r="E2" i="7"/>
  <c r="F2" i="7"/>
  <c r="D7" i="7"/>
  <c r="E7" i="7"/>
  <c r="F7" i="7"/>
  <c r="D6" i="7"/>
  <c r="E6" i="7"/>
  <c r="F6" i="7"/>
  <c r="D4" i="7"/>
  <c r="E4" i="7"/>
  <c r="F4" i="7"/>
  <c r="D8" i="7"/>
  <c r="E8" i="7"/>
  <c r="F8" i="7"/>
  <c r="D20" i="7"/>
  <c r="E20" i="7"/>
  <c r="F20" i="7"/>
  <c r="D5" i="7"/>
  <c r="E5" i="7"/>
  <c r="F5" i="7"/>
  <c r="D9" i="7"/>
  <c r="E9" i="7"/>
  <c r="F9" i="7"/>
  <c r="D12" i="7"/>
  <c r="E12" i="7"/>
  <c r="F12" i="7"/>
  <c r="D10" i="7"/>
  <c r="E10" i="7"/>
  <c r="F10" i="7"/>
  <c r="D21" i="7"/>
  <c r="E21" i="7"/>
  <c r="F21" i="7"/>
  <c r="D22" i="7"/>
  <c r="E22" i="7"/>
  <c r="F22" i="7"/>
  <c r="D24" i="7"/>
  <c r="E24" i="7"/>
  <c r="F24" i="7"/>
  <c r="D15" i="7"/>
  <c r="E15" i="7"/>
  <c r="F15" i="7"/>
  <c r="D25" i="7"/>
  <c r="E25" i="7"/>
  <c r="F25" i="7"/>
  <c r="D14" i="7"/>
  <c r="E14" i="7"/>
  <c r="F14" i="7"/>
  <c r="D26" i="7"/>
  <c r="E26" i="7"/>
  <c r="F26" i="7"/>
  <c r="D27" i="7"/>
  <c r="E27" i="7"/>
  <c r="F27" i="7"/>
  <c r="D29" i="7"/>
  <c r="E29" i="7"/>
  <c r="F29" i="7"/>
  <c r="D30" i="7"/>
  <c r="E30" i="7"/>
  <c r="F30" i="7"/>
  <c r="D31" i="7"/>
  <c r="E31" i="7"/>
  <c r="F31" i="7"/>
  <c r="G31" i="7"/>
  <c r="D32" i="7"/>
  <c r="E32" i="7"/>
  <c r="F32" i="7"/>
  <c r="D19" i="7"/>
  <c r="E19" i="7"/>
  <c r="F19" i="7"/>
  <c r="D17" i="7"/>
  <c r="E17" i="7"/>
  <c r="F17" i="7"/>
  <c r="D34" i="7"/>
  <c r="E34" i="7"/>
  <c r="F34" i="7"/>
  <c r="D35" i="7"/>
  <c r="E35" i="7"/>
  <c r="F35" i="7"/>
  <c r="F3" i="7"/>
  <c r="E3" i="7"/>
  <c r="D3" i="7"/>
  <c r="D2" i="5"/>
  <c r="E2" i="5"/>
  <c r="F2" i="5"/>
  <c r="D48" i="5"/>
  <c r="E48" i="5"/>
  <c r="F48" i="5"/>
  <c r="D4" i="5"/>
  <c r="E4" i="5"/>
  <c r="F4" i="5"/>
  <c r="D6" i="5"/>
  <c r="E6" i="5"/>
  <c r="F6" i="5"/>
  <c r="D3" i="5"/>
  <c r="E3" i="5"/>
  <c r="F3" i="5"/>
  <c r="D7" i="5"/>
  <c r="E7" i="5"/>
  <c r="F7" i="5"/>
  <c r="D5" i="5"/>
  <c r="E5" i="5"/>
  <c r="F5" i="5"/>
  <c r="D10" i="5"/>
  <c r="E10" i="5"/>
  <c r="F10" i="5"/>
  <c r="D11" i="5"/>
  <c r="E11" i="5"/>
  <c r="F11" i="5"/>
  <c r="D8" i="5"/>
  <c r="E8" i="5"/>
  <c r="F8" i="5"/>
  <c r="G28" i="5"/>
  <c r="F12" i="5"/>
  <c r="F13" i="5"/>
  <c r="F26" i="5"/>
  <c r="F16" i="5"/>
  <c r="F31" i="5"/>
  <c r="F14" i="5"/>
  <c r="F15" i="5"/>
  <c r="F17" i="5"/>
  <c r="F18" i="5"/>
  <c r="F21" i="5"/>
  <c r="F19" i="5"/>
  <c r="F20" i="5"/>
  <c r="F22" i="5"/>
  <c r="F23" i="5"/>
  <c r="F24" i="5"/>
  <c r="F25" i="5"/>
  <c r="F27" i="5"/>
  <c r="F28" i="5"/>
  <c r="F30" i="5"/>
  <c r="F29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9" i="5"/>
  <c r="F50" i="5"/>
  <c r="F9" i="5"/>
  <c r="F51" i="5"/>
  <c r="F52" i="5"/>
  <c r="F53" i="5"/>
  <c r="F54" i="5"/>
  <c r="F55" i="5"/>
  <c r="F56" i="5"/>
  <c r="F57" i="5"/>
  <c r="F58" i="5"/>
  <c r="F59" i="5"/>
  <c r="F60" i="5"/>
  <c r="F61" i="5"/>
  <c r="F63" i="5"/>
  <c r="F62" i="5"/>
  <c r="F64" i="5"/>
  <c r="F65" i="5"/>
  <c r="F66" i="5"/>
  <c r="E12" i="5"/>
  <c r="E13" i="5"/>
  <c r="E26" i="5"/>
  <c r="E16" i="5"/>
  <c r="E31" i="5"/>
  <c r="E14" i="5"/>
  <c r="E15" i="5"/>
  <c r="E17" i="5"/>
  <c r="E18" i="5"/>
  <c r="E21" i="5"/>
  <c r="E19" i="5"/>
  <c r="E20" i="5"/>
  <c r="E22" i="5"/>
  <c r="E23" i="5"/>
  <c r="E24" i="5"/>
  <c r="E25" i="5"/>
  <c r="E27" i="5"/>
  <c r="E28" i="5"/>
  <c r="E30" i="5"/>
  <c r="E29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9" i="5"/>
  <c r="E50" i="5"/>
  <c r="E9" i="5"/>
  <c r="E51" i="5"/>
  <c r="E52" i="5"/>
  <c r="E53" i="5"/>
  <c r="E54" i="5"/>
  <c r="E55" i="5"/>
  <c r="E56" i="5"/>
  <c r="E57" i="5"/>
  <c r="E58" i="5"/>
  <c r="E59" i="5"/>
  <c r="E60" i="5"/>
  <c r="E61" i="5"/>
  <c r="E63" i="5"/>
  <c r="E62" i="5"/>
  <c r="E64" i="5"/>
  <c r="E65" i="5"/>
  <c r="E66" i="5"/>
  <c r="D12" i="5"/>
  <c r="D13" i="5"/>
  <c r="D26" i="5"/>
  <c r="D16" i="5"/>
  <c r="D31" i="5"/>
  <c r="D14" i="5"/>
  <c r="D15" i="5"/>
  <c r="D17" i="5"/>
  <c r="D18" i="5"/>
  <c r="D21" i="5"/>
  <c r="D19" i="5"/>
  <c r="D20" i="5"/>
  <c r="D22" i="5"/>
  <c r="D23" i="5"/>
  <c r="D24" i="5"/>
  <c r="D25" i="5"/>
  <c r="D27" i="5"/>
  <c r="D28" i="5"/>
  <c r="D30" i="5"/>
  <c r="D29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9" i="5"/>
  <c r="D50" i="5"/>
  <c r="D9" i="5"/>
  <c r="D51" i="5"/>
  <c r="D52" i="5"/>
  <c r="D53" i="5"/>
  <c r="D54" i="5"/>
  <c r="D55" i="5"/>
  <c r="D56" i="5"/>
  <c r="D57" i="5"/>
  <c r="D58" i="5"/>
  <c r="D59" i="5"/>
  <c r="D60" i="5"/>
  <c r="D61" i="5"/>
  <c r="D63" i="5"/>
  <c r="D62" i="5"/>
  <c r="D64" i="5"/>
  <c r="D65" i="5"/>
  <c r="D66" i="5"/>
  <c r="F6" i="4"/>
  <c r="E6" i="4"/>
  <c r="D6" i="4"/>
  <c r="F5" i="4"/>
  <c r="E5" i="4"/>
  <c r="D5" i="4"/>
  <c r="F67" i="4"/>
  <c r="E67" i="4"/>
  <c r="D67" i="4"/>
  <c r="F4" i="4"/>
  <c r="E4" i="4"/>
  <c r="D4" i="4"/>
  <c r="F66" i="4"/>
  <c r="E66" i="4"/>
  <c r="D66" i="4"/>
  <c r="F64" i="4"/>
  <c r="E64" i="4"/>
  <c r="D64" i="4"/>
  <c r="F65" i="4"/>
  <c r="E65" i="4"/>
  <c r="D65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7" i="4"/>
  <c r="E47" i="4"/>
  <c r="D47" i="4"/>
  <c r="F48" i="4"/>
  <c r="E48" i="4"/>
  <c r="D48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9" i="4"/>
  <c r="E49" i="4"/>
  <c r="D49" i="4"/>
  <c r="F40" i="4"/>
  <c r="E40" i="4"/>
  <c r="D40" i="4"/>
  <c r="F39" i="4"/>
  <c r="E39" i="4"/>
  <c r="D39" i="4"/>
  <c r="F37" i="4"/>
  <c r="E37" i="4"/>
  <c r="D37" i="4"/>
  <c r="F38" i="4"/>
  <c r="E38" i="4"/>
  <c r="D38" i="4"/>
  <c r="F36" i="4"/>
  <c r="E36" i="4"/>
  <c r="D36" i="4"/>
  <c r="F35" i="4"/>
  <c r="E35" i="4"/>
  <c r="D35" i="4"/>
  <c r="F34" i="4"/>
  <c r="E34" i="4"/>
  <c r="D34" i="4"/>
  <c r="F32" i="4"/>
  <c r="E32" i="4"/>
  <c r="D32" i="4"/>
  <c r="F33" i="4"/>
  <c r="E33" i="4"/>
  <c r="D33" i="4"/>
  <c r="F31" i="4"/>
  <c r="E31" i="4"/>
  <c r="D31" i="4"/>
  <c r="F30" i="4"/>
  <c r="E30" i="4"/>
  <c r="D30" i="4"/>
  <c r="F29" i="4"/>
  <c r="E29" i="4"/>
  <c r="D29" i="4"/>
  <c r="F28" i="4"/>
  <c r="E28" i="4"/>
  <c r="D28" i="4"/>
  <c r="F25" i="4"/>
  <c r="E25" i="4"/>
  <c r="D25" i="4"/>
  <c r="F26" i="4"/>
  <c r="E26" i="4"/>
  <c r="D26" i="4"/>
  <c r="F27" i="4"/>
  <c r="E27" i="4"/>
  <c r="D27" i="4"/>
  <c r="G24" i="4"/>
  <c r="F24" i="4"/>
  <c r="E24" i="4"/>
  <c r="D24" i="4"/>
  <c r="F23" i="4"/>
  <c r="E23" i="4"/>
  <c r="D23" i="4"/>
  <c r="F22" i="4"/>
  <c r="E22" i="4"/>
  <c r="D22" i="4"/>
  <c r="F19" i="4"/>
  <c r="E19" i="4"/>
  <c r="D19" i="4"/>
  <c r="F20" i="4"/>
  <c r="E20" i="4"/>
  <c r="D20" i="4"/>
  <c r="F18" i="4"/>
  <c r="E18" i="4"/>
  <c r="D18" i="4"/>
  <c r="F17" i="4"/>
  <c r="E17" i="4"/>
  <c r="D17" i="4"/>
  <c r="F16" i="4"/>
  <c r="E16" i="4"/>
  <c r="D16" i="4"/>
  <c r="F15" i="4"/>
  <c r="E15" i="4"/>
  <c r="D15" i="4"/>
  <c r="F13" i="4"/>
  <c r="E13" i="4"/>
  <c r="D13" i="4"/>
  <c r="F14" i="4"/>
  <c r="E14" i="4"/>
  <c r="D14" i="4"/>
  <c r="F9" i="4"/>
  <c r="E9" i="4"/>
  <c r="D9" i="4"/>
  <c r="F12" i="4"/>
  <c r="E12" i="4"/>
  <c r="D12" i="4"/>
  <c r="F11" i="4"/>
  <c r="E11" i="4"/>
  <c r="D11" i="4"/>
  <c r="F10" i="4"/>
  <c r="E10" i="4"/>
  <c r="D10" i="4"/>
  <c r="F21" i="4"/>
  <c r="E21" i="4"/>
  <c r="D21" i="4"/>
  <c r="F7" i="4"/>
  <c r="E7" i="4"/>
  <c r="D7" i="4"/>
  <c r="F3" i="4"/>
  <c r="E3" i="4"/>
  <c r="D3" i="4"/>
  <c r="F2" i="4"/>
  <c r="E2" i="4"/>
  <c r="D2" i="4"/>
  <c r="F25" i="6"/>
  <c r="E25" i="6"/>
  <c r="D25" i="6"/>
  <c r="F7" i="6"/>
  <c r="E7" i="6"/>
  <c r="D7" i="6"/>
  <c r="F4" i="6"/>
  <c r="E4" i="6"/>
  <c r="D4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3" i="6"/>
  <c r="E3" i="6"/>
  <c r="D3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48" i="6"/>
  <c r="E48" i="6"/>
  <c r="D48" i="6"/>
  <c r="F39" i="6"/>
  <c r="E39" i="6"/>
  <c r="D39" i="6"/>
  <c r="F38" i="6"/>
  <c r="E38" i="6"/>
  <c r="D38" i="6"/>
  <c r="F36" i="6"/>
  <c r="E36" i="6"/>
  <c r="D36" i="6"/>
  <c r="F37" i="6"/>
  <c r="E37" i="6"/>
  <c r="D37" i="6"/>
  <c r="F2" i="6"/>
  <c r="E2" i="6"/>
  <c r="D2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3" i="6"/>
  <c r="E23" i="6"/>
  <c r="D23" i="6"/>
  <c r="F22" i="6"/>
  <c r="E22" i="6"/>
  <c r="D22" i="6"/>
  <c r="F24" i="6"/>
  <c r="E24" i="6"/>
  <c r="D24" i="6"/>
  <c r="G21" i="6"/>
  <c r="F21" i="6"/>
  <c r="E21" i="6"/>
  <c r="D21" i="6"/>
  <c r="F20" i="6"/>
  <c r="E20" i="6"/>
  <c r="D20" i="6"/>
  <c r="F19" i="6"/>
  <c r="E19" i="6"/>
  <c r="D19" i="6"/>
  <c r="F16" i="6"/>
  <c r="E16" i="6"/>
  <c r="D16" i="6"/>
  <c r="F17" i="6"/>
  <c r="E17" i="6"/>
  <c r="D17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6" i="6"/>
  <c r="E6" i="6"/>
  <c r="D6" i="6"/>
  <c r="F5" i="6"/>
  <c r="E5" i="6"/>
  <c r="D5" i="6"/>
  <c r="F18" i="6"/>
  <c r="E18" i="6"/>
  <c r="D18" i="6"/>
  <c r="D2" i="16"/>
  <c r="E2" i="16"/>
  <c r="F2" i="16"/>
  <c r="D18" i="16"/>
  <c r="E18" i="16"/>
  <c r="F18" i="16"/>
  <c r="D5" i="16"/>
  <c r="E5" i="16"/>
  <c r="F5" i="16"/>
  <c r="D6" i="16"/>
  <c r="E6" i="16"/>
  <c r="F6" i="16"/>
  <c r="D8" i="16"/>
  <c r="E8" i="16"/>
  <c r="F8" i="16"/>
  <c r="D9" i="16"/>
  <c r="E9" i="16"/>
  <c r="F9" i="16"/>
  <c r="D10" i="16"/>
  <c r="E10" i="16"/>
  <c r="F10" i="16"/>
  <c r="D11" i="16"/>
  <c r="E11" i="16"/>
  <c r="F11" i="16"/>
  <c r="D12" i="16"/>
  <c r="E12" i="16"/>
  <c r="F12" i="16"/>
  <c r="D13" i="16"/>
  <c r="E13" i="16"/>
  <c r="F13" i="16"/>
  <c r="D14" i="16"/>
  <c r="E14" i="16"/>
  <c r="F14" i="16"/>
  <c r="D15" i="16"/>
  <c r="E15" i="16"/>
  <c r="F15" i="16"/>
  <c r="D16" i="16"/>
  <c r="E16" i="16"/>
  <c r="F16" i="16"/>
  <c r="D17" i="16"/>
  <c r="E17" i="16"/>
  <c r="F17" i="16"/>
  <c r="D19" i="16"/>
  <c r="E19" i="16"/>
  <c r="F19" i="16"/>
  <c r="D20" i="16"/>
  <c r="E20" i="16"/>
  <c r="F20" i="16"/>
  <c r="D21" i="16"/>
  <c r="E21" i="16"/>
  <c r="F21" i="16"/>
  <c r="G21" i="16"/>
  <c r="D22" i="16"/>
  <c r="E22" i="16"/>
  <c r="F22" i="16"/>
  <c r="D23" i="16"/>
  <c r="E23" i="16"/>
  <c r="F23" i="16"/>
  <c r="D24" i="16"/>
  <c r="E24" i="16"/>
  <c r="F24" i="16"/>
  <c r="D26" i="16"/>
  <c r="E26" i="16"/>
  <c r="F26" i="16"/>
  <c r="D27" i="16"/>
  <c r="E27" i="16"/>
  <c r="F27" i="16"/>
  <c r="D28" i="16"/>
  <c r="E28" i="16"/>
  <c r="F28" i="16"/>
  <c r="D29" i="16"/>
  <c r="E29" i="16"/>
  <c r="F29" i="16"/>
  <c r="D30" i="16"/>
  <c r="E30" i="16"/>
  <c r="F30" i="16"/>
  <c r="D31" i="16"/>
  <c r="E31" i="16"/>
  <c r="F31" i="16"/>
  <c r="D32" i="16"/>
  <c r="E32" i="16"/>
  <c r="F32" i="16"/>
  <c r="D33" i="16"/>
  <c r="E33" i="16"/>
  <c r="F33" i="16"/>
  <c r="D34" i="16"/>
  <c r="E34" i="16"/>
  <c r="F34" i="16"/>
  <c r="D35" i="16"/>
  <c r="E35" i="16"/>
  <c r="F35" i="16"/>
  <c r="D36" i="16"/>
  <c r="E36" i="16"/>
  <c r="F36" i="16"/>
  <c r="D37" i="16"/>
  <c r="E37" i="16"/>
  <c r="F37" i="16"/>
  <c r="D38" i="16"/>
  <c r="E38" i="16"/>
  <c r="F38" i="16"/>
  <c r="D39" i="16"/>
  <c r="E39" i="16"/>
  <c r="F39" i="16"/>
  <c r="D40" i="16"/>
  <c r="E40" i="16"/>
  <c r="F40" i="16"/>
  <c r="D48" i="16"/>
  <c r="E48" i="16"/>
  <c r="F48" i="16"/>
  <c r="D41" i="16"/>
  <c r="E41" i="16"/>
  <c r="F41" i="16"/>
  <c r="D42" i="16"/>
  <c r="E42" i="16"/>
  <c r="F42" i="16"/>
  <c r="D43" i="16"/>
  <c r="E43" i="16"/>
  <c r="F43" i="16"/>
  <c r="D44" i="16"/>
  <c r="E44" i="16"/>
  <c r="F44" i="16"/>
  <c r="D45" i="16"/>
  <c r="E45" i="16"/>
  <c r="F45" i="16"/>
  <c r="D46" i="16"/>
  <c r="E46" i="16"/>
  <c r="F46" i="16"/>
  <c r="D47" i="16"/>
  <c r="E47" i="16"/>
  <c r="F47" i="16"/>
  <c r="D49" i="16"/>
  <c r="E49" i="16"/>
  <c r="F49" i="16"/>
  <c r="D50" i="16"/>
  <c r="E50" i="16"/>
  <c r="F50" i="16"/>
  <c r="D51" i="16"/>
  <c r="E51" i="16"/>
  <c r="F51" i="16"/>
  <c r="D52" i="16"/>
  <c r="E52" i="16"/>
  <c r="F52" i="16"/>
  <c r="D53" i="16"/>
  <c r="E53" i="16"/>
  <c r="F53" i="16"/>
  <c r="D54" i="16"/>
  <c r="E54" i="16"/>
  <c r="F54" i="16"/>
  <c r="D55" i="16"/>
  <c r="E55" i="16"/>
  <c r="F55" i="16"/>
  <c r="D56" i="16"/>
  <c r="E56" i="16"/>
  <c r="F56" i="16"/>
  <c r="D57" i="16"/>
  <c r="E57" i="16"/>
  <c r="F57" i="16"/>
  <c r="D58" i="16"/>
  <c r="E58" i="16"/>
  <c r="F58" i="16"/>
  <c r="D59" i="16"/>
  <c r="E59" i="16"/>
  <c r="F59" i="16"/>
  <c r="D4" i="16"/>
  <c r="E4" i="16"/>
  <c r="F4" i="16"/>
  <c r="D60" i="16"/>
  <c r="E60" i="16"/>
  <c r="F60" i="16"/>
  <c r="D61" i="16"/>
  <c r="E61" i="16"/>
  <c r="F61" i="16"/>
  <c r="D62" i="16"/>
  <c r="E62" i="16"/>
  <c r="F62" i="16"/>
  <c r="D63" i="16"/>
  <c r="E63" i="16"/>
  <c r="F63" i="16"/>
  <c r="D64" i="16"/>
  <c r="E64" i="16"/>
  <c r="F64" i="16"/>
  <c r="D65" i="16"/>
  <c r="E65" i="16"/>
  <c r="F65" i="16"/>
  <c r="D66" i="16"/>
  <c r="E66" i="16"/>
  <c r="F66" i="16"/>
  <c r="D7" i="16"/>
  <c r="E7" i="16"/>
  <c r="F7" i="16"/>
  <c r="D25" i="16"/>
  <c r="E25" i="16"/>
  <c r="F25" i="16"/>
  <c r="F3" i="16"/>
  <c r="E3" i="16"/>
  <c r="D3" i="16"/>
  <c r="D16" i="17"/>
  <c r="E16" i="17"/>
  <c r="F16" i="17"/>
  <c r="D3" i="17"/>
  <c r="E3" i="17"/>
  <c r="F3" i="17"/>
  <c r="D4" i="17"/>
  <c r="E4" i="17"/>
  <c r="F4" i="17"/>
  <c r="D6" i="17"/>
  <c r="E6" i="17"/>
  <c r="F6" i="17"/>
  <c r="D7" i="17"/>
  <c r="E7" i="17"/>
  <c r="F7" i="17"/>
  <c r="D8" i="17"/>
  <c r="E8" i="17"/>
  <c r="F8" i="17"/>
  <c r="D9" i="17"/>
  <c r="E9" i="17"/>
  <c r="F9" i="17"/>
  <c r="D10" i="17"/>
  <c r="E10" i="17"/>
  <c r="F10" i="17"/>
  <c r="D11" i="17"/>
  <c r="E11" i="17"/>
  <c r="F11" i="17"/>
  <c r="D12" i="17"/>
  <c r="E12" i="17"/>
  <c r="F12" i="17"/>
  <c r="D13" i="17"/>
  <c r="E13" i="17"/>
  <c r="F13" i="17"/>
  <c r="D14" i="17"/>
  <c r="E14" i="17"/>
  <c r="F14" i="17"/>
  <c r="D15" i="17"/>
  <c r="E15" i="17"/>
  <c r="F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F20" i="17"/>
  <c r="D21" i="17"/>
  <c r="E21" i="17"/>
  <c r="F21" i="17"/>
  <c r="D22" i="17"/>
  <c r="E22" i="17"/>
  <c r="F22" i="17"/>
  <c r="D24" i="17"/>
  <c r="E24" i="17"/>
  <c r="F24" i="17"/>
  <c r="D25" i="17"/>
  <c r="E25" i="17"/>
  <c r="F25" i="17"/>
  <c r="D26" i="17"/>
  <c r="E26" i="17"/>
  <c r="F26" i="17"/>
  <c r="D27" i="17"/>
  <c r="E27" i="17"/>
  <c r="F27" i="17"/>
  <c r="D28" i="17"/>
  <c r="E28" i="17"/>
  <c r="F28" i="17"/>
  <c r="D29" i="17"/>
  <c r="E29" i="17"/>
  <c r="F29" i="17"/>
  <c r="D30" i="17"/>
  <c r="E30" i="17"/>
  <c r="F30" i="17"/>
  <c r="D31" i="17"/>
  <c r="E31" i="17"/>
  <c r="F31" i="17"/>
  <c r="D32" i="17"/>
  <c r="E32" i="17"/>
  <c r="F32" i="17"/>
  <c r="D33" i="17"/>
  <c r="E33" i="17"/>
  <c r="F33" i="17"/>
  <c r="D34" i="17"/>
  <c r="E34" i="17"/>
  <c r="F34" i="17"/>
  <c r="D35" i="17"/>
  <c r="E35" i="17"/>
  <c r="F35" i="17"/>
  <c r="D36" i="17"/>
  <c r="E36" i="17"/>
  <c r="F36" i="17"/>
  <c r="D37" i="17"/>
  <c r="E37" i="17"/>
  <c r="F37" i="17"/>
  <c r="D38" i="17"/>
  <c r="E38" i="17"/>
  <c r="F38" i="17"/>
  <c r="D46" i="17"/>
  <c r="E46" i="17"/>
  <c r="F46" i="17"/>
  <c r="D39" i="17"/>
  <c r="E39" i="17"/>
  <c r="F39" i="17"/>
  <c r="D40" i="17"/>
  <c r="E40" i="17"/>
  <c r="F40" i="17"/>
  <c r="D41" i="17"/>
  <c r="E41" i="17"/>
  <c r="F41" i="17"/>
  <c r="D42" i="17"/>
  <c r="E42" i="17"/>
  <c r="F42" i="17"/>
  <c r="D43" i="17"/>
  <c r="E43" i="17"/>
  <c r="F43" i="17"/>
  <c r="D44" i="17"/>
  <c r="E44" i="17"/>
  <c r="F44" i="17"/>
  <c r="D45" i="17"/>
  <c r="E45" i="17"/>
  <c r="F45" i="17"/>
  <c r="D47" i="17"/>
  <c r="E47" i="17"/>
  <c r="F47" i="17"/>
  <c r="D48" i="17"/>
  <c r="E48" i="17"/>
  <c r="F48" i="17"/>
  <c r="D49" i="17"/>
  <c r="E49" i="17"/>
  <c r="F49" i="17"/>
  <c r="D50" i="17"/>
  <c r="E50" i="17"/>
  <c r="F50" i="17"/>
  <c r="D51" i="17"/>
  <c r="E51" i="17"/>
  <c r="F51" i="17"/>
  <c r="D52" i="17"/>
  <c r="E52" i="17"/>
  <c r="F52" i="17"/>
  <c r="D53" i="17"/>
  <c r="E53" i="17"/>
  <c r="F53" i="17"/>
  <c r="D54" i="17"/>
  <c r="E54" i="17"/>
  <c r="F54" i="17"/>
  <c r="D55" i="17"/>
  <c r="E55" i="17"/>
  <c r="F55" i="17"/>
  <c r="D56" i="17"/>
  <c r="E56" i="17"/>
  <c r="F56" i="17"/>
  <c r="D57" i="17"/>
  <c r="E57" i="17"/>
  <c r="F57" i="17"/>
  <c r="D58" i="17"/>
  <c r="E58" i="17"/>
  <c r="F58" i="17"/>
  <c r="D59" i="17"/>
  <c r="E59" i="17"/>
  <c r="F59" i="17"/>
  <c r="D60" i="17"/>
  <c r="E60" i="17"/>
  <c r="F60" i="17"/>
  <c r="D61" i="17"/>
  <c r="E61" i="17"/>
  <c r="F61" i="17"/>
  <c r="D62" i="17"/>
  <c r="E62" i="17"/>
  <c r="F62" i="17"/>
  <c r="D63" i="17"/>
  <c r="E63" i="17"/>
  <c r="F63" i="17"/>
  <c r="D64" i="17"/>
  <c r="E64" i="17"/>
  <c r="F64" i="17"/>
  <c r="D65" i="17"/>
  <c r="E65" i="17"/>
  <c r="F65" i="17"/>
  <c r="D66" i="17"/>
  <c r="E66" i="17"/>
  <c r="F66" i="17"/>
  <c r="D5" i="17"/>
  <c r="E5" i="17"/>
  <c r="F5" i="17"/>
  <c r="D23" i="17"/>
  <c r="E23" i="17"/>
  <c r="F23" i="17"/>
  <c r="F2" i="17"/>
  <c r="E2" i="17"/>
  <c r="D2" i="17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31" i="3"/>
  <c r="E31" i="3"/>
  <c r="D31" i="3"/>
  <c r="F12" i="3"/>
  <c r="E12" i="3"/>
  <c r="D12" i="3"/>
  <c r="F54" i="3"/>
  <c r="E54" i="3"/>
  <c r="D54" i="3"/>
  <c r="F53" i="3"/>
  <c r="E53" i="3"/>
  <c r="D53" i="3"/>
  <c r="F10" i="3"/>
  <c r="E10" i="3"/>
  <c r="D10" i="3"/>
  <c r="F52" i="3"/>
  <c r="E52" i="3"/>
  <c r="D52" i="3"/>
  <c r="F51" i="3"/>
  <c r="E51" i="3"/>
  <c r="D51" i="3"/>
  <c r="F50" i="3"/>
  <c r="E50" i="3"/>
  <c r="D50" i="3"/>
  <c r="F49" i="3"/>
  <c r="E49" i="3"/>
  <c r="D49" i="3"/>
  <c r="F47" i="3"/>
  <c r="E47" i="3"/>
  <c r="D47" i="3"/>
  <c r="F46" i="3"/>
  <c r="E46" i="3"/>
  <c r="D46" i="3"/>
  <c r="F11" i="3"/>
  <c r="E11" i="3"/>
  <c r="D11" i="3"/>
  <c r="F45" i="3"/>
  <c r="E45" i="3"/>
  <c r="D45" i="3"/>
  <c r="F48" i="3"/>
  <c r="E48" i="3"/>
  <c r="D48" i="3"/>
  <c r="F44" i="3"/>
  <c r="E44" i="3"/>
  <c r="D44" i="3"/>
  <c r="F43" i="3"/>
  <c r="E43" i="3"/>
  <c r="D43" i="3"/>
  <c r="F41" i="3"/>
  <c r="E41" i="3"/>
  <c r="D41" i="3"/>
  <c r="F42" i="3"/>
  <c r="E42" i="3"/>
  <c r="D42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29" i="3"/>
  <c r="E29" i="3"/>
  <c r="D29" i="3"/>
  <c r="F30" i="3"/>
  <c r="E30" i="3"/>
  <c r="D30" i="3"/>
  <c r="F28" i="3"/>
  <c r="E28" i="3"/>
  <c r="D28" i="3"/>
  <c r="F27" i="3"/>
  <c r="E27" i="3"/>
  <c r="D27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26" i="3"/>
  <c r="E26" i="3"/>
  <c r="D26" i="3"/>
  <c r="F13" i="3"/>
  <c r="E13" i="3"/>
  <c r="D13" i="3"/>
  <c r="F7" i="3"/>
  <c r="E7" i="3"/>
  <c r="D7" i="3"/>
  <c r="F9" i="3"/>
  <c r="E9" i="3"/>
  <c r="D9" i="3"/>
  <c r="F8" i="3"/>
  <c r="E8" i="3"/>
  <c r="D8" i="3"/>
  <c r="F5" i="3"/>
  <c r="E5" i="3"/>
  <c r="D5" i="3"/>
  <c r="F6" i="3"/>
  <c r="E6" i="3"/>
  <c r="D6" i="3"/>
  <c r="F3" i="3"/>
  <c r="E3" i="3"/>
  <c r="D3" i="3"/>
  <c r="G2" i="3"/>
  <c r="F2" i="3"/>
  <c r="E2" i="3"/>
  <c r="D2" i="3"/>
  <c r="F4" i="3"/>
  <c r="E4" i="3"/>
  <c r="D4" i="3"/>
  <c r="K8" i="8"/>
  <c r="K5" i="8"/>
  <c r="K9" i="8"/>
  <c r="K7" i="8"/>
  <c r="K2" i="8"/>
  <c r="K53" i="8"/>
  <c r="K4" i="8"/>
  <c r="K17" i="8"/>
  <c r="K11" i="8"/>
  <c r="K6" i="8"/>
  <c r="K36" i="8"/>
  <c r="K31" i="8"/>
  <c r="K58" i="8"/>
  <c r="K10" i="8"/>
  <c r="K28" i="8"/>
  <c r="K56" i="8"/>
  <c r="K38" i="8"/>
  <c r="K33" i="8"/>
  <c r="K34" i="8"/>
  <c r="K39" i="8"/>
  <c r="K13" i="8"/>
  <c r="K14" i="8"/>
  <c r="K16" i="8"/>
  <c r="K18" i="8"/>
  <c r="K19" i="8"/>
  <c r="K20" i="8"/>
  <c r="K22" i="8"/>
  <c r="K21" i="8"/>
  <c r="K24" i="8"/>
  <c r="K25" i="8"/>
  <c r="K26" i="8"/>
  <c r="K29" i="8"/>
  <c r="K27" i="8"/>
  <c r="K32" i="8"/>
  <c r="K35" i="8"/>
  <c r="K37" i="8"/>
  <c r="K40" i="8"/>
  <c r="K3" i="8"/>
  <c r="K41" i="8"/>
  <c r="K42" i="8"/>
  <c r="K43" i="8"/>
  <c r="K47" i="8"/>
  <c r="K44" i="8"/>
  <c r="K45" i="8"/>
  <c r="K46" i="8"/>
  <c r="K12" i="8"/>
  <c r="K48" i="8"/>
  <c r="K49" i="8"/>
  <c r="K50" i="8"/>
  <c r="K51" i="8"/>
  <c r="K52" i="8"/>
  <c r="K54" i="8"/>
  <c r="K55" i="8"/>
  <c r="K57" i="8"/>
  <c r="K59" i="8"/>
  <c r="K60" i="8"/>
  <c r="K61" i="8"/>
  <c r="K62" i="8"/>
  <c r="K63" i="8"/>
  <c r="K64" i="8"/>
  <c r="K65" i="8"/>
  <c r="K66" i="8"/>
  <c r="K15" i="8"/>
  <c r="K30" i="8"/>
  <c r="K23" i="8"/>
  <c r="K23" i="9"/>
  <c r="K17" i="9"/>
  <c r="K6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4" i="9"/>
  <c r="K3" i="9"/>
  <c r="K43" i="9"/>
  <c r="K42" i="9"/>
  <c r="K41" i="9"/>
  <c r="K40" i="9"/>
  <c r="K39" i="9"/>
  <c r="K46" i="9"/>
  <c r="K38" i="9"/>
  <c r="K37" i="9"/>
  <c r="K36" i="9"/>
  <c r="K35" i="9"/>
  <c r="K34" i="9"/>
  <c r="K33" i="9"/>
  <c r="K31" i="9"/>
  <c r="K30" i="9"/>
  <c r="K29" i="9"/>
  <c r="K28" i="9"/>
  <c r="K25" i="9"/>
  <c r="K24" i="9"/>
  <c r="K22" i="9"/>
  <c r="K21" i="9"/>
  <c r="K20" i="9"/>
  <c r="K19" i="9"/>
  <c r="K18" i="9"/>
  <c r="K2" i="9"/>
  <c r="K15" i="9"/>
  <c r="K16" i="9"/>
  <c r="K14" i="9"/>
  <c r="K13" i="9"/>
  <c r="K11" i="9"/>
  <c r="K10" i="9"/>
  <c r="K9" i="9"/>
  <c r="K8" i="9"/>
  <c r="K7" i="9"/>
  <c r="K5" i="9"/>
  <c r="K4" i="9"/>
  <c r="K32" i="9"/>
  <c r="K27" i="9"/>
  <c r="K26" i="9"/>
  <c r="K45" i="9"/>
  <c r="K12" i="9"/>
  <c r="K2" i="16"/>
  <c r="A67" i="16" s="1"/>
  <c r="K44" i="16"/>
  <c r="K28" i="16"/>
  <c r="K29" i="16"/>
  <c r="K34" i="16"/>
  <c r="K5" i="16"/>
  <c r="K6" i="16"/>
  <c r="K8" i="16"/>
  <c r="K9" i="16"/>
  <c r="K10" i="16"/>
  <c r="K11" i="16"/>
  <c r="K12" i="16"/>
  <c r="K13" i="16"/>
  <c r="K14" i="16"/>
  <c r="K15" i="16"/>
  <c r="K16" i="16"/>
  <c r="K17" i="16"/>
  <c r="K19" i="16"/>
  <c r="K20" i="16"/>
  <c r="K21" i="16"/>
  <c r="K22" i="16"/>
  <c r="K23" i="16"/>
  <c r="K24" i="16"/>
  <c r="K26" i="16"/>
  <c r="K27" i="16"/>
  <c r="K30" i="16"/>
  <c r="K31" i="16"/>
  <c r="K32" i="16"/>
  <c r="K33" i="16"/>
  <c r="K35" i="16"/>
  <c r="K36" i="16"/>
  <c r="K37" i="16"/>
  <c r="K38" i="16"/>
  <c r="K39" i="16"/>
  <c r="K40" i="16"/>
  <c r="K48" i="16"/>
  <c r="K41" i="16"/>
  <c r="K42" i="16"/>
  <c r="K43" i="16"/>
  <c r="K45" i="16"/>
  <c r="K46" i="16"/>
  <c r="K47" i="16"/>
  <c r="K49" i="16"/>
  <c r="K50" i="16"/>
  <c r="K51" i="16"/>
  <c r="K52" i="16"/>
  <c r="K53" i="16"/>
  <c r="K54" i="16"/>
  <c r="K55" i="16"/>
  <c r="K56" i="16"/>
  <c r="K57" i="16"/>
  <c r="K58" i="16"/>
  <c r="K59" i="16"/>
  <c r="K4" i="16"/>
  <c r="K60" i="16"/>
  <c r="K61" i="16"/>
  <c r="K62" i="16"/>
  <c r="K63" i="16"/>
  <c r="K64" i="16"/>
  <c r="K3" i="16"/>
  <c r="K65" i="16"/>
  <c r="K66" i="16"/>
  <c r="K7" i="16"/>
  <c r="K18" i="16"/>
  <c r="K25" i="16"/>
  <c r="K28" i="6"/>
  <c r="K55" i="6"/>
  <c r="K24" i="6"/>
  <c r="K3" i="6"/>
  <c r="K2" i="6"/>
  <c r="K20" i="4"/>
  <c r="K4" i="4"/>
  <c r="K3" i="4"/>
  <c r="K7" i="4"/>
  <c r="K2" i="4"/>
  <c r="K23" i="4"/>
  <c r="K61" i="4"/>
  <c r="K11" i="4"/>
  <c r="K19" i="4"/>
  <c r="K9" i="4"/>
  <c r="K35" i="4"/>
  <c r="K30" i="4"/>
  <c r="K21" i="4"/>
  <c r="K31" i="4"/>
  <c r="K10" i="4"/>
  <c r="K12" i="4"/>
  <c r="K14" i="4"/>
  <c r="K13" i="4"/>
  <c r="K15" i="4"/>
  <c r="K16" i="4"/>
  <c r="K17" i="4"/>
  <c r="K18" i="4"/>
  <c r="K22" i="4"/>
  <c r="K24" i="4"/>
  <c r="K27" i="4"/>
  <c r="K26" i="4"/>
  <c r="K25" i="4"/>
  <c r="K28" i="4"/>
  <c r="K29" i="4"/>
  <c r="K33" i="4"/>
  <c r="K32" i="4"/>
  <c r="K34" i="4"/>
  <c r="K36" i="4"/>
  <c r="K38" i="4"/>
  <c r="K37" i="4"/>
  <c r="K39" i="4"/>
  <c r="K40" i="4"/>
  <c r="K49" i="4"/>
  <c r="K41" i="4"/>
  <c r="K42" i="4"/>
  <c r="K43" i="4"/>
  <c r="K44" i="4"/>
  <c r="K45" i="4"/>
  <c r="K46" i="4"/>
  <c r="K48" i="4"/>
  <c r="K47" i="4"/>
  <c r="K50" i="4"/>
  <c r="K51" i="4"/>
  <c r="K52" i="4"/>
  <c r="K53" i="4"/>
  <c r="K54" i="4"/>
  <c r="K55" i="4"/>
  <c r="K56" i="4"/>
  <c r="K57" i="4"/>
  <c r="K58" i="4"/>
  <c r="K59" i="4"/>
  <c r="K60" i="4"/>
  <c r="K62" i="4"/>
  <c r="K63" i="4"/>
  <c r="K65" i="4"/>
  <c r="K64" i="4"/>
  <c r="K66" i="4"/>
  <c r="K67" i="4"/>
  <c r="K5" i="4"/>
  <c r="K6" i="4"/>
  <c r="K3" i="5"/>
  <c r="K7" i="5"/>
  <c r="K5" i="5"/>
  <c r="K2" i="5"/>
  <c r="K48" i="5"/>
  <c r="K23" i="5"/>
  <c r="K8" i="5"/>
  <c r="K9" i="5"/>
  <c r="K6" i="5"/>
  <c r="K44" i="5"/>
  <c r="K46" i="5"/>
  <c r="K4" i="5"/>
  <c r="K34" i="5"/>
  <c r="K12" i="5"/>
  <c r="K21" i="5"/>
  <c r="K65" i="5"/>
  <c r="K13" i="5"/>
  <c r="K26" i="5"/>
  <c r="K16" i="5"/>
  <c r="K31" i="5"/>
  <c r="K14" i="5"/>
  <c r="K15" i="5"/>
  <c r="K17" i="5"/>
  <c r="K18" i="5"/>
  <c r="K19" i="5"/>
  <c r="K20" i="5"/>
  <c r="K22" i="5"/>
  <c r="K24" i="5"/>
  <c r="K25" i="5"/>
  <c r="K27" i="5"/>
  <c r="K28" i="5"/>
  <c r="K30" i="5"/>
  <c r="K29" i="5"/>
  <c r="K32" i="5"/>
  <c r="K33" i="5"/>
  <c r="K11" i="5"/>
  <c r="K35" i="5"/>
  <c r="K36" i="5"/>
  <c r="K37" i="5"/>
  <c r="K38" i="5"/>
  <c r="K10" i="5"/>
  <c r="K39" i="5"/>
  <c r="K40" i="5"/>
  <c r="K41" i="5"/>
  <c r="K42" i="5"/>
  <c r="K43" i="5"/>
  <c r="K45" i="5"/>
  <c r="K47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3" i="5"/>
  <c r="K62" i="5"/>
  <c r="K64" i="5"/>
  <c r="K66" i="5"/>
  <c r="K131" i="3"/>
  <c r="K66" i="3"/>
  <c r="K65" i="3"/>
  <c r="K64" i="3"/>
  <c r="K63" i="3"/>
  <c r="K62" i="3"/>
  <c r="K61" i="3"/>
  <c r="K60" i="3"/>
  <c r="K59" i="3"/>
  <c r="K58" i="3"/>
  <c r="K57" i="3"/>
  <c r="K56" i="3"/>
  <c r="K31" i="3"/>
  <c r="K12" i="3"/>
  <c r="K54" i="3"/>
  <c r="K53" i="3"/>
  <c r="K10" i="3"/>
  <c r="K51" i="3"/>
  <c r="K50" i="3"/>
  <c r="K49" i="3"/>
  <c r="K47" i="3"/>
  <c r="K46" i="3"/>
  <c r="K45" i="3"/>
  <c r="K48" i="3"/>
  <c r="K44" i="3"/>
  <c r="K43" i="3"/>
  <c r="K41" i="3"/>
  <c r="K40" i="3"/>
  <c r="K39" i="3"/>
  <c r="K38" i="3"/>
  <c r="K37" i="3"/>
  <c r="K36" i="3"/>
  <c r="K35" i="3"/>
  <c r="K33" i="3"/>
  <c r="K32" i="3"/>
  <c r="K29" i="3"/>
  <c r="K28" i="3"/>
  <c r="K27" i="3"/>
  <c r="K25" i="3"/>
  <c r="K24" i="3"/>
  <c r="K22" i="3"/>
  <c r="K21" i="3"/>
  <c r="K20" i="3"/>
  <c r="K19" i="3"/>
  <c r="K17" i="3"/>
  <c r="K16" i="3"/>
  <c r="K15" i="3"/>
  <c r="K14" i="3"/>
  <c r="K34" i="3"/>
  <c r="K26" i="3"/>
  <c r="K13" i="3"/>
  <c r="K18" i="3"/>
  <c r="K52" i="3"/>
  <c r="K23" i="3"/>
  <c r="K11" i="3"/>
  <c r="K30" i="3"/>
  <c r="K8" i="3"/>
  <c r="K42" i="3"/>
  <c r="K9" i="3"/>
  <c r="K7" i="3"/>
  <c r="K3" i="3"/>
  <c r="K4" i="3"/>
  <c r="K5" i="3"/>
  <c r="K55" i="3"/>
  <c r="K6" i="3"/>
  <c r="K2" i="3"/>
  <c r="A70" i="3" s="1"/>
  <c r="K2" i="15"/>
  <c r="K26" i="15"/>
  <c r="K27" i="15"/>
  <c r="K3" i="15"/>
  <c r="K4" i="15"/>
  <c r="K6" i="15"/>
  <c r="K7" i="15"/>
  <c r="K8" i="15"/>
  <c r="K9" i="15"/>
  <c r="K10" i="15"/>
  <c r="K11" i="15"/>
  <c r="K12" i="15"/>
  <c r="K13" i="15"/>
  <c r="K15" i="15"/>
  <c r="K14" i="15"/>
  <c r="K46" i="15"/>
  <c r="K17" i="15"/>
  <c r="K18" i="15"/>
  <c r="K19" i="15"/>
  <c r="K20" i="15"/>
  <c r="K21" i="15"/>
  <c r="K22" i="15"/>
  <c r="K24" i="15"/>
  <c r="K25" i="15"/>
  <c r="K28" i="15"/>
  <c r="K29" i="15"/>
  <c r="K30" i="15"/>
  <c r="K31" i="15"/>
  <c r="K32" i="15"/>
  <c r="K33" i="15"/>
  <c r="K35" i="15"/>
  <c r="K34" i="15"/>
  <c r="K36" i="15"/>
  <c r="K37" i="15"/>
  <c r="K38" i="15"/>
  <c r="K39" i="15"/>
  <c r="K40" i="15"/>
  <c r="K41" i="15"/>
  <c r="K42" i="15"/>
  <c r="K43" i="15"/>
  <c r="K44" i="15"/>
  <c r="K45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16" i="15"/>
  <c r="K5" i="15"/>
  <c r="K23" i="15"/>
  <c r="K3" i="14"/>
  <c r="K2" i="14"/>
  <c r="K4" i="14"/>
  <c r="K35" i="14"/>
  <c r="K29" i="14"/>
  <c r="K30" i="14"/>
  <c r="K6" i="14"/>
  <c r="K7" i="14"/>
  <c r="K50" i="14"/>
  <c r="K21" i="14"/>
  <c r="K22" i="14"/>
  <c r="K23" i="14"/>
  <c r="K31" i="14"/>
  <c r="K32" i="14"/>
  <c r="K33" i="14"/>
  <c r="K34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1" i="14"/>
  <c r="K52" i="14"/>
  <c r="K53" i="14"/>
  <c r="K54" i="14"/>
  <c r="K5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2" i="13"/>
  <c r="K3" i="13"/>
  <c r="K4" i="13"/>
  <c r="K6" i="13"/>
  <c r="K5" i="13"/>
  <c r="K7" i="13"/>
  <c r="K40" i="13"/>
  <c r="K37" i="13"/>
  <c r="K34" i="13"/>
  <c r="K8" i="13"/>
  <c r="K32" i="13"/>
  <c r="K38" i="13"/>
  <c r="K30" i="13"/>
  <c r="K22" i="13"/>
  <c r="K31" i="13"/>
  <c r="K9" i="13"/>
  <c r="K10" i="13"/>
  <c r="K12" i="13"/>
  <c r="K13" i="13"/>
  <c r="K14" i="13"/>
  <c r="K16" i="13"/>
  <c r="K15" i="13"/>
  <c r="K17" i="13"/>
  <c r="K18" i="13"/>
  <c r="K19" i="13"/>
  <c r="K20" i="13"/>
  <c r="K21" i="13"/>
  <c r="K48" i="13"/>
  <c r="K23" i="13"/>
  <c r="K24" i="13"/>
  <c r="K25" i="13"/>
  <c r="K26" i="13"/>
  <c r="K28" i="13"/>
  <c r="K29" i="13"/>
  <c r="K33" i="13"/>
  <c r="K35" i="13"/>
  <c r="K36" i="13"/>
  <c r="K39" i="13"/>
  <c r="K41" i="13"/>
  <c r="K42" i="13"/>
  <c r="K43" i="13"/>
  <c r="K44" i="13"/>
  <c r="K45" i="13"/>
  <c r="K46" i="13"/>
  <c r="K47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3" i="13"/>
  <c r="K62" i="13"/>
  <c r="K64" i="13"/>
  <c r="K65" i="13"/>
  <c r="K66" i="13"/>
  <c r="K2" i="12"/>
  <c r="K3" i="12"/>
  <c r="K16" i="12"/>
  <c r="K15" i="12"/>
  <c r="K4" i="12"/>
  <c r="K27" i="12"/>
  <c r="K17" i="12"/>
  <c r="K28" i="12"/>
  <c r="K5" i="12"/>
  <c r="K7" i="12"/>
  <c r="K8" i="12"/>
  <c r="K9" i="12"/>
  <c r="K11" i="12"/>
  <c r="K10" i="12"/>
  <c r="K12" i="12"/>
  <c r="K13" i="12"/>
  <c r="K14" i="12"/>
  <c r="K47" i="12"/>
  <c r="K18" i="12"/>
  <c r="K19" i="12"/>
  <c r="K20" i="12"/>
  <c r="K23" i="12"/>
  <c r="K22" i="12"/>
  <c r="K21" i="12"/>
  <c r="K25" i="12"/>
  <c r="K26" i="12"/>
  <c r="K30" i="12"/>
  <c r="K29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3" i="12"/>
  <c r="K62" i="12"/>
  <c r="K64" i="12"/>
  <c r="K65" i="12"/>
  <c r="K66" i="12"/>
  <c r="K26" i="11"/>
  <c r="K25" i="11"/>
  <c r="K24" i="11"/>
  <c r="K23" i="11"/>
  <c r="K19" i="11"/>
  <c r="K20" i="11"/>
  <c r="K21" i="11"/>
  <c r="K18" i="11"/>
  <c r="K17" i="11"/>
  <c r="K16" i="11"/>
  <c r="K13" i="11"/>
  <c r="K14" i="11"/>
  <c r="K12" i="11"/>
  <c r="K11" i="11"/>
  <c r="K10" i="11"/>
  <c r="K8" i="11"/>
  <c r="K9" i="11"/>
  <c r="K7" i="11"/>
  <c r="K6" i="11"/>
  <c r="K5" i="11"/>
  <c r="K3" i="11"/>
  <c r="K2" i="11"/>
  <c r="K15" i="11"/>
  <c r="K35" i="11"/>
  <c r="K4" i="11"/>
  <c r="K67" i="11"/>
  <c r="K66" i="11"/>
  <c r="K65" i="11"/>
  <c r="K63" i="11"/>
  <c r="K61" i="11"/>
  <c r="K60" i="11"/>
  <c r="K59" i="11"/>
  <c r="K58" i="11"/>
  <c r="K57" i="11"/>
  <c r="K56" i="11"/>
  <c r="K55" i="11"/>
  <c r="K54" i="11"/>
  <c r="K52" i="11"/>
  <c r="K51" i="11"/>
  <c r="K50" i="11"/>
  <c r="K48" i="11"/>
  <c r="K68" i="11"/>
  <c r="K62" i="11"/>
  <c r="K64" i="11"/>
  <c r="K22" i="11"/>
  <c r="K53" i="11"/>
  <c r="K49" i="11"/>
  <c r="K47" i="11"/>
  <c r="K45" i="11"/>
  <c r="K44" i="11"/>
  <c r="K43" i="11"/>
  <c r="K42" i="11"/>
  <c r="K41" i="11"/>
  <c r="K40" i="11"/>
  <c r="K39" i="11"/>
  <c r="K38" i="11"/>
  <c r="K46" i="11"/>
  <c r="K37" i="11"/>
  <c r="K36" i="11"/>
  <c r="K33" i="11"/>
  <c r="K32" i="11"/>
  <c r="K34" i="11"/>
  <c r="K31" i="11"/>
  <c r="K30" i="11"/>
  <c r="K29" i="11"/>
  <c r="K27" i="11"/>
  <c r="K28" i="11"/>
  <c r="K4" i="10"/>
  <c r="K5" i="10"/>
  <c r="K2" i="10"/>
  <c r="K29" i="10"/>
  <c r="K30" i="10"/>
  <c r="K33" i="10"/>
  <c r="K7" i="10"/>
  <c r="K3" i="10"/>
  <c r="K32" i="10"/>
  <c r="K31" i="10"/>
  <c r="K36" i="10"/>
  <c r="K8" i="10"/>
  <c r="K9" i="10"/>
  <c r="K11" i="10"/>
  <c r="K12" i="10"/>
  <c r="K13" i="10"/>
  <c r="K14" i="10"/>
  <c r="K15" i="10"/>
  <c r="K16" i="10"/>
  <c r="K17" i="10"/>
  <c r="K18" i="10"/>
  <c r="K20" i="10"/>
  <c r="K19" i="10"/>
  <c r="K49" i="10"/>
  <c r="K22" i="10"/>
  <c r="K23" i="10"/>
  <c r="K24" i="10"/>
  <c r="K25" i="10"/>
  <c r="K26" i="10"/>
  <c r="K27" i="10"/>
  <c r="K6" i="10"/>
  <c r="K34" i="10"/>
  <c r="K35" i="10"/>
  <c r="K37" i="10"/>
  <c r="K38" i="10"/>
  <c r="K40" i="10"/>
  <c r="K39" i="10"/>
  <c r="K41" i="10"/>
  <c r="K42" i="10"/>
  <c r="K43" i="10"/>
  <c r="K44" i="10"/>
  <c r="K45" i="10"/>
  <c r="K46" i="10"/>
  <c r="K47" i="10"/>
  <c r="K48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10" i="10"/>
  <c r="K21" i="10"/>
  <c r="K28" i="10"/>
  <c r="K23" i="17"/>
  <c r="K16" i="17"/>
  <c r="K5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5" i="17"/>
  <c r="K44" i="17"/>
  <c r="K43" i="17"/>
  <c r="K42" i="17"/>
  <c r="K41" i="17"/>
  <c r="K40" i="17"/>
  <c r="K39" i="17"/>
  <c r="K46" i="17"/>
  <c r="K38" i="17"/>
  <c r="K37" i="17"/>
  <c r="K36" i="17"/>
  <c r="K35" i="17"/>
  <c r="K34" i="17"/>
  <c r="K33" i="17"/>
  <c r="K31" i="17"/>
  <c r="K30" i="17"/>
  <c r="K29" i="17"/>
  <c r="K28" i="17"/>
  <c r="K25" i="17"/>
  <c r="K24" i="17"/>
  <c r="K22" i="17"/>
  <c r="K21" i="17"/>
  <c r="K20" i="17"/>
  <c r="K19" i="17"/>
  <c r="K18" i="17"/>
  <c r="K17" i="17"/>
  <c r="K15" i="17"/>
  <c r="K14" i="17"/>
  <c r="K13" i="17"/>
  <c r="K12" i="17"/>
  <c r="K11" i="17"/>
  <c r="K10" i="17"/>
  <c r="K9" i="17"/>
  <c r="K8" i="17"/>
  <c r="K7" i="17"/>
  <c r="K6" i="17"/>
  <c r="K4" i="17"/>
  <c r="K3" i="17"/>
  <c r="K32" i="17"/>
  <c r="K27" i="17"/>
  <c r="K26" i="17"/>
  <c r="K2" i="17"/>
  <c r="K29" i="6"/>
  <c r="K34" i="6"/>
  <c r="K5" i="6"/>
  <c r="K6" i="6"/>
  <c r="K8" i="6"/>
  <c r="K9" i="6"/>
  <c r="K10" i="6"/>
  <c r="K11" i="6"/>
  <c r="K12" i="6"/>
  <c r="K13" i="6"/>
  <c r="K14" i="6"/>
  <c r="K15" i="6"/>
  <c r="K17" i="6"/>
  <c r="K16" i="6"/>
  <c r="K19" i="6"/>
  <c r="K20" i="6"/>
  <c r="K21" i="6"/>
  <c r="K22" i="6"/>
  <c r="K23" i="6"/>
  <c r="K26" i="6"/>
  <c r="K27" i="6"/>
  <c r="K30" i="6"/>
  <c r="K31" i="6"/>
  <c r="K32" i="6"/>
  <c r="K33" i="6"/>
  <c r="K35" i="6"/>
  <c r="K37" i="6"/>
  <c r="K36" i="6"/>
  <c r="K38" i="6"/>
  <c r="K39" i="6"/>
  <c r="K48" i="6"/>
  <c r="K40" i="6"/>
  <c r="K41" i="6"/>
  <c r="K42" i="6"/>
  <c r="K43" i="6"/>
  <c r="K44" i="6"/>
  <c r="K45" i="6"/>
  <c r="K46" i="6"/>
  <c r="K47" i="6"/>
  <c r="K49" i="6"/>
  <c r="K50" i="6"/>
  <c r="K51" i="6"/>
  <c r="K52" i="6"/>
  <c r="K53" i="6"/>
  <c r="K54" i="6"/>
  <c r="K56" i="6"/>
  <c r="K57" i="6"/>
  <c r="K58" i="6"/>
  <c r="K59" i="6"/>
  <c r="K60" i="6"/>
  <c r="K61" i="6"/>
  <c r="K62" i="6"/>
  <c r="K63" i="6"/>
  <c r="K64" i="6"/>
  <c r="K65" i="6"/>
  <c r="K66" i="6"/>
  <c r="K4" i="6"/>
  <c r="K7" i="6"/>
  <c r="K18" i="6"/>
  <c r="K25" i="6"/>
  <c r="C39" i="15"/>
  <c r="C64" i="15"/>
  <c r="C31" i="15"/>
  <c r="C26" i="15"/>
  <c r="C3" i="15"/>
  <c r="C4" i="15"/>
  <c r="C6" i="15"/>
  <c r="C7" i="15"/>
  <c r="C8" i="15"/>
  <c r="C9" i="15"/>
  <c r="C10" i="15"/>
  <c r="C11" i="15"/>
  <c r="C12" i="15"/>
  <c r="C13" i="15"/>
  <c r="C15" i="15"/>
  <c r="C14" i="15"/>
  <c r="C46" i="15"/>
  <c r="C17" i="15"/>
  <c r="C18" i="15"/>
  <c r="C19" i="15"/>
  <c r="C20" i="15"/>
  <c r="C21" i="15"/>
  <c r="C22" i="15"/>
  <c r="C24" i="15"/>
  <c r="C25" i="15"/>
  <c r="C28" i="15"/>
  <c r="C29" i="15"/>
  <c r="C30" i="15"/>
  <c r="C2" i="15"/>
  <c r="C32" i="15"/>
  <c r="C33" i="15"/>
  <c r="C35" i="15"/>
  <c r="C34" i="15"/>
  <c r="C36" i="15"/>
  <c r="C37" i="15"/>
  <c r="C38" i="15"/>
  <c r="C40" i="15"/>
  <c r="C41" i="15"/>
  <c r="C42" i="15"/>
  <c r="C43" i="15"/>
  <c r="C44" i="15"/>
  <c r="C45" i="15"/>
  <c r="C47" i="15"/>
  <c r="C48" i="15"/>
  <c r="C49" i="15"/>
  <c r="C50" i="15"/>
  <c r="C51" i="15"/>
  <c r="C52" i="15"/>
  <c r="C53" i="15"/>
  <c r="C16" i="15"/>
  <c r="C54" i="15"/>
  <c r="C55" i="15"/>
  <c r="C56" i="15"/>
  <c r="C57" i="15"/>
  <c r="C58" i="15"/>
  <c r="C59" i="15"/>
  <c r="C60" i="15"/>
  <c r="C5" i="15"/>
  <c r="C61" i="15"/>
  <c r="C62" i="15"/>
  <c r="C63" i="15"/>
  <c r="C65" i="15"/>
  <c r="C66" i="15"/>
  <c r="C23" i="15"/>
  <c r="C27" i="15"/>
  <c r="C2" i="14"/>
  <c r="C4" i="14"/>
  <c r="C43" i="14"/>
  <c r="C64" i="14"/>
  <c r="C35" i="14"/>
  <c r="C6" i="14"/>
  <c r="C7" i="14"/>
  <c r="C29" i="14"/>
  <c r="C9" i="14"/>
  <c r="C10" i="14"/>
  <c r="C11" i="14"/>
  <c r="C12" i="14"/>
  <c r="C13" i="14"/>
  <c r="C14" i="14"/>
  <c r="C15" i="14"/>
  <c r="C16" i="14"/>
  <c r="C18" i="14"/>
  <c r="C17" i="14"/>
  <c r="C50" i="14"/>
  <c r="C20" i="14"/>
  <c r="C21" i="14"/>
  <c r="C22" i="14"/>
  <c r="C24" i="14"/>
  <c r="C23" i="14"/>
  <c r="C25" i="14"/>
  <c r="C27" i="14"/>
  <c r="C28" i="14"/>
  <c r="C31" i="14"/>
  <c r="C32" i="14"/>
  <c r="C33" i="14"/>
  <c r="C34" i="14"/>
  <c r="C19" i="14"/>
  <c r="C8" i="14"/>
  <c r="C36" i="14"/>
  <c r="C37" i="14"/>
  <c r="C38" i="14"/>
  <c r="C39" i="14"/>
  <c r="C40" i="14"/>
  <c r="C41" i="14"/>
  <c r="C42" i="14"/>
  <c r="C44" i="14"/>
  <c r="C45" i="14"/>
  <c r="C46" i="14"/>
  <c r="C47" i="14"/>
  <c r="C48" i="14"/>
  <c r="C49" i="14"/>
  <c r="C51" i="14"/>
  <c r="C52" i="14"/>
  <c r="C53" i="14"/>
  <c r="C54" i="14"/>
  <c r="C5" i="14"/>
  <c r="C55" i="14"/>
  <c r="C56" i="14"/>
  <c r="C57" i="14"/>
  <c r="C58" i="14"/>
  <c r="C59" i="14"/>
  <c r="C60" i="14"/>
  <c r="C61" i="14"/>
  <c r="C62" i="14"/>
  <c r="C63" i="14"/>
  <c r="C65" i="14"/>
  <c r="C66" i="14"/>
  <c r="C30" i="14"/>
  <c r="C26" i="14"/>
  <c r="C33" i="13"/>
  <c r="C35" i="13"/>
  <c r="C36" i="13"/>
  <c r="C39" i="13"/>
  <c r="C40" i="13"/>
  <c r="C42" i="13"/>
  <c r="C43" i="13"/>
  <c r="C44" i="13"/>
  <c r="C45" i="13"/>
  <c r="C46" i="13"/>
  <c r="C47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3" i="13"/>
  <c r="C62" i="13"/>
  <c r="C65" i="13"/>
  <c r="C66" i="13"/>
  <c r="C11" i="13"/>
  <c r="C6" i="12"/>
  <c r="C24" i="12"/>
  <c r="C34" i="12"/>
  <c r="C35" i="12"/>
  <c r="C36" i="12"/>
  <c r="C37" i="12"/>
  <c r="C38" i="12"/>
  <c r="C39" i="12"/>
  <c r="C41" i="12"/>
  <c r="C42" i="12"/>
  <c r="C43" i="12"/>
  <c r="C44" i="12"/>
  <c r="C45" i="12"/>
  <c r="C46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17" i="12"/>
  <c r="C63" i="12"/>
  <c r="C62" i="12"/>
  <c r="C28" i="12"/>
  <c r="C65" i="12"/>
  <c r="C66" i="12"/>
  <c r="C32" i="12"/>
  <c r="C31" i="12"/>
  <c r="C29" i="12"/>
  <c r="C30" i="12"/>
  <c r="C26" i="12"/>
  <c r="C25" i="12"/>
  <c r="C21" i="12"/>
  <c r="C22" i="12"/>
  <c r="C23" i="12"/>
  <c r="C20" i="12"/>
  <c r="C19" i="12"/>
  <c r="C18" i="12"/>
  <c r="C47" i="12"/>
  <c r="C14" i="12"/>
  <c r="C13" i="12"/>
  <c r="C12" i="12"/>
  <c r="C10" i="12"/>
  <c r="C11" i="12"/>
  <c r="C9" i="12"/>
  <c r="C8" i="12"/>
  <c r="C7" i="12"/>
  <c r="C5" i="12"/>
  <c r="C27" i="12"/>
  <c r="C4" i="12"/>
  <c r="C33" i="12"/>
  <c r="C64" i="12"/>
  <c r="C40" i="12"/>
  <c r="C3" i="12"/>
  <c r="C15" i="12"/>
  <c r="C2" i="12"/>
  <c r="C66" i="11"/>
  <c r="C28" i="11"/>
  <c r="C4" i="11"/>
  <c r="C27" i="11"/>
  <c r="C29" i="11"/>
  <c r="C30" i="11"/>
  <c r="C31" i="11"/>
  <c r="C34" i="11"/>
  <c r="C36" i="11"/>
  <c r="C37" i="11"/>
  <c r="C46" i="11"/>
  <c r="C35" i="11"/>
  <c r="C38" i="11"/>
  <c r="C39" i="11"/>
  <c r="C40" i="11"/>
  <c r="C15" i="11"/>
  <c r="C2" i="11"/>
  <c r="C3" i="11"/>
  <c r="C41" i="11"/>
  <c r="C42" i="11"/>
  <c r="C5" i="11"/>
  <c r="C6" i="11"/>
  <c r="C43" i="11"/>
  <c r="C44" i="11"/>
  <c r="C45" i="11"/>
  <c r="C7" i="11"/>
  <c r="C9" i="11"/>
  <c r="C47" i="11"/>
  <c r="C8" i="11"/>
  <c r="C49" i="11"/>
  <c r="C10" i="11"/>
  <c r="C11" i="11"/>
  <c r="C53" i="11"/>
  <c r="C12" i="11"/>
  <c r="C14" i="11"/>
  <c r="C13" i="11"/>
  <c r="C64" i="11"/>
  <c r="C62" i="11"/>
  <c r="C68" i="11"/>
  <c r="C48" i="11"/>
  <c r="C16" i="11"/>
  <c r="C50" i="11"/>
  <c r="C17" i="11"/>
  <c r="C51" i="11"/>
  <c r="C52" i="11"/>
  <c r="C18" i="11"/>
  <c r="C54" i="11"/>
  <c r="C55" i="11"/>
  <c r="C56" i="11"/>
  <c r="C57" i="11"/>
  <c r="C58" i="11"/>
  <c r="C21" i="11"/>
  <c r="C59" i="11"/>
  <c r="C60" i="11"/>
  <c r="C20" i="11"/>
  <c r="C61" i="11"/>
  <c r="C19" i="11"/>
  <c r="C63" i="11"/>
  <c r="C65" i="11"/>
  <c r="C23" i="11"/>
  <c r="C67" i="11"/>
  <c r="C32" i="11"/>
  <c r="C33" i="11"/>
  <c r="C22" i="11"/>
  <c r="C24" i="11"/>
  <c r="C25" i="11"/>
  <c r="C26" i="11"/>
  <c r="C28" i="10"/>
  <c r="C36" i="10"/>
  <c r="C21" i="10"/>
  <c r="C2" i="10"/>
  <c r="C4" i="10"/>
  <c r="C30" i="10"/>
  <c r="C33" i="10"/>
  <c r="C7" i="10"/>
  <c r="C65" i="10"/>
  <c r="C8" i="10"/>
  <c r="C10" i="10"/>
  <c r="C9" i="10"/>
  <c r="C11" i="10"/>
  <c r="C12" i="10"/>
  <c r="C13" i="10"/>
  <c r="C14" i="10"/>
  <c r="C32" i="10"/>
  <c r="C15" i="10"/>
  <c r="C16" i="10"/>
  <c r="C17" i="10"/>
  <c r="C18" i="10"/>
  <c r="C20" i="10"/>
  <c r="C19" i="10"/>
  <c r="C49" i="10"/>
  <c r="C22" i="10"/>
  <c r="C23" i="10"/>
  <c r="C24" i="10"/>
  <c r="C25" i="10"/>
  <c r="C31" i="10"/>
  <c r="C26" i="10"/>
  <c r="C27" i="10"/>
  <c r="C29" i="10"/>
  <c r="C6" i="10"/>
  <c r="C34" i="10"/>
  <c r="C35" i="10"/>
  <c r="C43" i="10"/>
  <c r="C37" i="10"/>
  <c r="C38" i="10"/>
  <c r="C40" i="10"/>
  <c r="C39" i="10"/>
  <c r="C41" i="10"/>
  <c r="C42" i="10"/>
  <c r="C3" i="10"/>
  <c r="C44" i="10"/>
  <c r="C45" i="10"/>
  <c r="C46" i="10"/>
  <c r="C47" i="10"/>
  <c r="C48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6" i="10"/>
  <c r="C32" i="9"/>
  <c r="C23" i="9"/>
  <c r="C28" i="9"/>
  <c r="C29" i="9"/>
  <c r="C26" i="9"/>
  <c r="C30" i="9"/>
  <c r="C31" i="9"/>
  <c r="C33" i="9"/>
  <c r="C34" i="9"/>
  <c r="C35" i="9"/>
  <c r="C36" i="9"/>
  <c r="C37" i="9"/>
  <c r="C38" i="9"/>
  <c r="C46" i="9"/>
  <c r="C39" i="9"/>
  <c r="C41" i="9"/>
  <c r="C42" i="9"/>
  <c r="C43" i="9"/>
  <c r="C3" i="9"/>
  <c r="C44" i="9"/>
  <c r="C45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5" i="9"/>
  <c r="C66" i="9"/>
  <c r="C27" i="9"/>
  <c r="C17" i="9"/>
  <c r="C3" i="7"/>
  <c r="C11" i="7"/>
  <c r="C4" i="7"/>
  <c r="C8" i="7"/>
  <c r="C5" i="7"/>
  <c r="C12" i="7"/>
  <c r="C7" i="7"/>
  <c r="C6" i="7"/>
  <c r="C20" i="7"/>
  <c r="C50" i="7"/>
  <c r="C65" i="7"/>
  <c r="C28" i="7"/>
  <c r="C30" i="7"/>
  <c r="C16" i="7"/>
  <c r="C21" i="7"/>
  <c r="C22" i="7"/>
  <c r="C24" i="7"/>
  <c r="C15" i="7"/>
  <c r="C25" i="7"/>
  <c r="C14" i="7"/>
  <c r="C26" i="7"/>
  <c r="C27" i="7"/>
  <c r="C29" i="7"/>
  <c r="C31" i="7"/>
  <c r="C17" i="7"/>
  <c r="C32" i="7"/>
  <c r="C19" i="7"/>
  <c r="C34" i="7"/>
  <c r="C35" i="7"/>
  <c r="C38" i="7"/>
  <c r="C39" i="7"/>
  <c r="C40" i="7"/>
  <c r="C41" i="7"/>
  <c r="C43" i="7"/>
  <c r="C44" i="7"/>
  <c r="C46" i="7"/>
  <c r="C45" i="7"/>
  <c r="C47" i="7"/>
  <c r="C48" i="7"/>
  <c r="C49" i="7"/>
  <c r="C51" i="7"/>
  <c r="C52" i="7"/>
  <c r="C53" i="7"/>
  <c r="C54" i="7"/>
  <c r="C10" i="7"/>
  <c r="C9" i="7"/>
  <c r="C55" i="7"/>
  <c r="C56" i="7"/>
  <c r="C57" i="7"/>
  <c r="C58" i="7"/>
  <c r="C18" i="7"/>
  <c r="C59" i="7"/>
  <c r="C60" i="7"/>
  <c r="C61" i="7"/>
  <c r="C13" i="7"/>
  <c r="C62" i="7"/>
  <c r="C23" i="7"/>
  <c r="C63" i="7"/>
  <c r="C64" i="7"/>
  <c r="C33" i="7"/>
  <c r="C66" i="7"/>
  <c r="C36" i="7"/>
  <c r="C37" i="7"/>
  <c r="C42" i="7"/>
  <c r="C5" i="17"/>
  <c r="C40" i="17"/>
  <c r="C64" i="17"/>
  <c r="C3" i="17"/>
  <c r="C4" i="17"/>
  <c r="C6" i="17"/>
  <c r="C7" i="17"/>
  <c r="C8" i="17"/>
  <c r="C9" i="17"/>
  <c r="C10" i="17"/>
  <c r="C11" i="17"/>
  <c r="C12" i="17"/>
  <c r="C13" i="17"/>
  <c r="C14" i="17"/>
  <c r="C15" i="17"/>
  <c r="C17" i="17"/>
  <c r="C18" i="17"/>
  <c r="C19" i="17"/>
  <c r="C20" i="17"/>
  <c r="C21" i="17"/>
  <c r="C22" i="17"/>
  <c r="C24" i="17"/>
  <c r="C25" i="17"/>
  <c r="C28" i="17"/>
  <c r="C29" i="17"/>
  <c r="C30" i="17"/>
  <c r="C31" i="17"/>
  <c r="C33" i="17"/>
  <c r="C34" i="17"/>
  <c r="C35" i="17"/>
  <c r="C36" i="17"/>
  <c r="C37" i="17"/>
  <c r="C38" i="17"/>
  <c r="C46" i="17"/>
  <c r="C39" i="17"/>
  <c r="C41" i="17"/>
  <c r="C42" i="17"/>
  <c r="C2" i="17"/>
  <c r="C43" i="17"/>
  <c r="C44" i="17"/>
  <c r="C45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26" i="17"/>
  <c r="C61" i="17"/>
  <c r="C16" i="17"/>
  <c r="C62" i="17"/>
  <c r="C63" i="17"/>
  <c r="C27" i="17"/>
  <c r="C65" i="17"/>
  <c r="C66" i="17"/>
  <c r="C23" i="17"/>
  <c r="C32" i="17"/>
  <c r="C34" i="16"/>
  <c r="C25" i="16"/>
  <c r="C29" i="16"/>
  <c r="C18" i="16"/>
  <c r="C2" i="16"/>
  <c r="C3" i="16"/>
  <c r="C5" i="16"/>
  <c r="C6" i="16"/>
  <c r="C28" i="16"/>
  <c r="C8" i="16"/>
  <c r="C9" i="16"/>
  <c r="C10" i="16"/>
  <c r="C11" i="16"/>
  <c r="C12" i="16"/>
  <c r="C13" i="16"/>
  <c r="C14" i="16"/>
  <c r="C15" i="16"/>
  <c r="C16" i="16"/>
  <c r="C17" i="16"/>
  <c r="C19" i="16"/>
  <c r="C20" i="16"/>
  <c r="C21" i="16"/>
  <c r="C22" i="16"/>
  <c r="C23" i="16"/>
  <c r="C24" i="16"/>
  <c r="C26" i="16"/>
  <c r="C27" i="16"/>
  <c r="C30" i="16"/>
  <c r="C31" i="16"/>
  <c r="C32" i="16"/>
  <c r="C33" i="16"/>
  <c r="C42" i="16"/>
  <c r="C35" i="16"/>
  <c r="C36" i="16"/>
  <c r="C37" i="16"/>
  <c r="C38" i="16"/>
  <c r="C39" i="16"/>
  <c r="C40" i="16"/>
  <c r="C48" i="16"/>
  <c r="C41" i="16"/>
  <c r="C43" i="16"/>
  <c r="C45" i="16"/>
  <c r="C46" i="16"/>
  <c r="C47" i="16"/>
  <c r="C49" i="16"/>
  <c r="C50" i="16"/>
  <c r="C51" i="16"/>
  <c r="C52" i="16"/>
  <c r="C53" i="16"/>
  <c r="C54" i="16"/>
  <c r="C55" i="16"/>
  <c r="C56" i="16"/>
  <c r="C57" i="16"/>
  <c r="C58" i="16"/>
  <c r="C59" i="16"/>
  <c r="C4" i="16"/>
  <c r="C7" i="16"/>
  <c r="C60" i="16"/>
  <c r="C61" i="16"/>
  <c r="C62" i="16"/>
  <c r="C63" i="16"/>
  <c r="C64" i="16"/>
  <c r="C65" i="16"/>
  <c r="C66" i="16"/>
  <c r="C25" i="6"/>
  <c r="C34" i="6"/>
  <c r="C18" i="6"/>
  <c r="C29" i="6"/>
  <c r="C7" i="6"/>
  <c r="C5" i="6"/>
  <c r="C6" i="6"/>
  <c r="C65" i="6"/>
  <c r="C8" i="6"/>
  <c r="C9" i="6"/>
  <c r="C10" i="6"/>
  <c r="C11" i="6"/>
  <c r="C12" i="6"/>
  <c r="C28" i="6"/>
  <c r="C13" i="6"/>
  <c r="C14" i="6"/>
  <c r="C15" i="6"/>
  <c r="C17" i="6"/>
  <c r="C16" i="6"/>
  <c r="C19" i="6"/>
  <c r="C20" i="6"/>
  <c r="C21" i="6"/>
  <c r="C22" i="6"/>
  <c r="C23" i="6"/>
  <c r="C24" i="6"/>
  <c r="C26" i="6"/>
  <c r="C27" i="6"/>
  <c r="C30" i="6"/>
  <c r="C31" i="6"/>
  <c r="C32" i="6"/>
  <c r="C33" i="6"/>
  <c r="C41" i="6"/>
  <c r="C35" i="6"/>
  <c r="C37" i="6"/>
  <c r="C36" i="6"/>
  <c r="C38" i="6"/>
  <c r="C39" i="6"/>
  <c r="C48" i="6"/>
  <c r="C40" i="6"/>
  <c r="C42" i="6"/>
  <c r="C43" i="6"/>
  <c r="C44" i="6"/>
  <c r="C45" i="6"/>
  <c r="C46" i="6"/>
  <c r="C47" i="6"/>
  <c r="C49" i="6"/>
  <c r="C50" i="6"/>
  <c r="C51" i="6"/>
  <c r="C52" i="6"/>
  <c r="C53" i="6"/>
  <c r="C54" i="6"/>
  <c r="C55" i="6"/>
  <c r="C56" i="6"/>
  <c r="C3" i="6"/>
  <c r="C57" i="6"/>
  <c r="C58" i="6"/>
  <c r="C59" i="6"/>
  <c r="C60" i="6"/>
  <c r="C61" i="6"/>
  <c r="C62" i="6"/>
  <c r="C63" i="6"/>
  <c r="C64" i="6"/>
  <c r="C66" i="6"/>
  <c r="C4" i="6"/>
  <c r="C20" i="4"/>
  <c r="C3" i="4"/>
  <c r="C7" i="4"/>
  <c r="C23" i="4"/>
  <c r="C61" i="4"/>
  <c r="C35" i="4"/>
  <c r="C19" i="4"/>
  <c r="C9" i="4"/>
  <c r="C30" i="4"/>
  <c r="C21" i="4"/>
  <c r="C10" i="4"/>
  <c r="C11" i="4"/>
  <c r="C12" i="4"/>
  <c r="C14" i="4"/>
  <c r="C13" i="4"/>
  <c r="C15" i="4"/>
  <c r="C16" i="4"/>
  <c r="C17" i="4"/>
  <c r="C18" i="4"/>
  <c r="C22" i="4"/>
  <c r="C24" i="4"/>
  <c r="C27" i="4"/>
  <c r="C26" i="4"/>
  <c r="C25" i="4"/>
  <c r="C28" i="4"/>
  <c r="C29" i="4"/>
  <c r="C33" i="4"/>
  <c r="C32" i="4"/>
  <c r="C34" i="4"/>
  <c r="C36" i="4"/>
  <c r="C5" i="4"/>
  <c r="C2" i="4"/>
  <c r="C6" i="4"/>
  <c r="C38" i="4"/>
  <c r="C37" i="4"/>
  <c r="C39" i="4"/>
  <c r="C40" i="4"/>
  <c r="C49" i="4"/>
  <c r="C41" i="4"/>
  <c r="C42" i="4"/>
  <c r="C43" i="4"/>
  <c r="C44" i="4"/>
  <c r="C45" i="4"/>
  <c r="C46" i="4"/>
  <c r="C48" i="4"/>
  <c r="C47" i="4"/>
  <c r="C50" i="4"/>
  <c r="C51" i="4"/>
  <c r="C52" i="4"/>
  <c r="C31" i="4"/>
  <c r="C53" i="4"/>
  <c r="C54" i="4"/>
  <c r="C55" i="4"/>
  <c r="C56" i="4"/>
  <c r="C66" i="4"/>
  <c r="C57" i="4"/>
  <c r="C58" i="4"/>
  <c r="C59" i="4"/>
  <c r="C60" i="4"/>
  <c r="C62" i="4"/>
  <c r="C63" i="4"/>
  <c r="C65" i="4"/>
  <c r="C64" i="4"/>
  <c r="C67" i="4"/>
  <c r="C64" i="3"/>
  <c r="C39" i="3"/>
  <c r="C13" i="3"/>
  <c r="C26" i="3"/>
  <c r="C14" i="3"/>
  <c r="C15" i="3"/>
  <c r="C16" i="3"/>
  <c r="C17" i="3"/>
  <c r="C18" i="3"/>
  <c r="C19" i="3"/>
  <c r="C20" i="3"/>
  <c r="C21" i="3"/>
  <c r="C22" i="3"/>
  <c r="C23" i="3"/>
  <c r="C34" i="3"/>
  <c r="C24" i="3"/>
  <c r="C25" i="3"/>
  <c r="C27" i="3"/>
  <c r="C28" i="3"/>
  <c r="C29" i="3"/>
  <c r="C32" i="3"/>
  <c r="C33" i="3"/>
  <c r="C35" i="3"/>
  <c r="C36" i="3"/>
  <c r="C37" i="3"/>
  <c r="C38" i="3"/>
  <c r="C40" i="3"/>
  <c r="C41" i="3"/>
  <c r="C43" i="3"/>
  <c r="C44" i="3"/>
  <c r="C48" i="3"/>
  <c r="C45" i="3"/>
  <c r="C46" i="3"/>
  <c r="C47" i="3"/>
  <c r="C49" i="3"/>
  <c r="C50" i="3"/>
  <c r="C51" i="3"/>
  <c r="C52" i="3"/>
  <c r="C10" i="3"/>
  <c r="C53" i="3"/>
  <c r="C54" i="3"/>
  <c r="C12" i="3"/>
  <c r="C31" i="3"/>
  <c r="C56" i="3"/>
  <c r="C57" i="3"/>
  <c r="C58" i="3"/>
  <c r="C59" i="3"/>
  <c r="C60" i="3"/>
  <c r="C61" i="3"/>
  <c r="C62" i="3"/>
  <c r="C63" i="3"/>
  <c r="C65" i="3"/>
  <c r="C66" i="3"/>
  <c r="C131" i="3"/>
  <c r="C132" i="3"/>
  <c r="C133" i="3"/>
  <c r="C134" i="3"/>
  <c r="C44" i="8"/>
  <c r="J44" i="8"/>
  <c r="AC52" i="18" s="1"/>
  <c r="J42" i="4"/>
  <c r="X52" i="18" s="1"/>
  <c r="J45" i="3"/>
  <c r="J43" i="10"/>
  <c r="AF52" i="18" s="1"/>
  <c r="J42" i="16"/>
  <c r="AA52" i="18" s="1"/>
  <c r="J41" i="6"/>
  <c r="Z52" i="18" s="1"/>
  <c r="J42" i="7"/>
  <c r="J37" i="7"/>
  <c r="J36" i="7"/>
  <c r="J66" i="7"/>
  <c r="AB3" i="18" s="1"/>
  <c r="J33" i="7"/>
  <c r="J64" i="7"/>
  <c r="AB28" i="18" s="1"/>
  <c r="J63" i="7"/>
  <c r="AB27" i="18" s="1"/>
  <c r="J23" i="7"/>
  <c r="J62" i="7"/>
  <c r="AB59" i="18" s="1"/>
  <c r="J13" i="7"/>
  <c r="AB55" i="18" s="1"/>
  <c r="J61" i="7"/>
  <c r="AB26" i="18" s="1"/>
  <c r="J60" i="7"/>
  <c r="AB48" i="18" s="1"/>
  <c r="J59" i="7"/>
  <c r="AB17" i="18" s="1"/>
  <c r="J18" i="7"/>
  <c r="AB49" i="18" s="1"/>
  <c r="J58" i="7"/>
  <c r="AB18" i="18" s="1"/>
  <c r="J57" i="7"/>
  <c r="AB11" i="18" s="1"/>
  <c r="J16" i="7"/>
  <c r="AB51" i="18" s="1"/>
  <c r="J56" i="7"/>
  <c r="AB25" i="18" s="1"/>
  <c r="J55" i="7"/>
  <c r="AB31" i="18" s="1"/>
  <c r="J9" i="7"/>
  <c r="AB60" i="18" s="1"/>
  <c r="J10" i="7"/>
  <c r="AB4" i="18" s="1"/>
  <c r="J54" i="7"/>
  <c r="AB56" i="18" s="1"/>
  <c r="J53" i="7"/>
  <c r="AB24" i="18" s="1"/>
  <c r="J52" i="7"/>
  <c r="AB21" i="18" s="1"/>
  <c r="J51" i="7"/>
  <c r="AB23" i="18" s="1"/>
  <c r="J49" i="7"/>
  <c r="AB15" i="18" s="1"/>
  <c r="J48" i="7"/>
  <c r="AB64" i="18" s="1"/>
  <c r="J47" i="7"/>
  <c r="AB62" i="18" s="1"/>
  <c r="J45" i="7"/>
  <c r="AB14" i="18" s="1"/>
  <c r="J46" i="7"/>
  <c r="AB50" i="18" s="1"/>
  <c r="J44" i="7"/>
  <c r="AB29" i="18" s="1"/>
  <c r="J43" i="7"/>
  <c r="AB5" i="18" s="1"/>
  <c r="J41" i="7"/>
  <c r="AB63" i="18" s="1"/>
  <c r="J40" i="7"/>
  <c r="AB44" i="18" s="1"/>
  <c r="J39" i="7"/>
  <c r="AB35" i="18" s="1"/>
  <c r="J38" i="7"/>
  <c r="AB30" i="18" s="1"/>
  <c r="J35" i="7"/>
  <c r="AB58" i="18" s="1"/>
  <c r="J34" i="7"/>
  <c r="AB39" i="18" s="1"/>
  <c r="J19" i="7"/>
  <c r="AB32" i="18" s="1"/>
  <c r="J32" i="7"/>
  <c r="AB9" i="18" s="1"/>
  <c r="J17" i="7"/>
  <c r="AB33" i="18" s="1"/>
  <c r="J31" i="7"/>
  <c r="AB2" i="18" s="1"/>
  <c r="J30" i="7"/>
  <c r="AB8" i="18" s="1"/>
  <c r="J29" i="7"/>
  <c r="AB61" i="18" s="1"/>
  <c r="J5" i="7"/>
  <c r="AB13" i="18" s="1"/>
  <c r="J27" i="7"/>
  <c r="AB6" i="18" s="1"/>
  <c r="J26" i="7"/>
  <c r="AB54" i="18" s="1"/>
  <c r="J14" i="7"/>
  <c r="AB38" i="18" s="1"/>
  <c r="J25" i="7"/>
  <c r="AB37" i="18" s="1"/>
  <c r="J15" i="7"/>
  <c r="AB34" i="18" s="1"/>
  <c r="J24" i="7"/>
  <c r="AB36" i="18" s="1"/>
  <c r="J22" i="7"/>
  <c r="AB47" i="18" s="1"/>
  <c r="J21" i="7"/>
  <c r="AB19" i="18" s="1"/>
  <c r="J28" i="7"/>
  <c r="J65" i="7"/>
  <c r="J50" i="7"/>
  <c r="AB52" i="18" s="1"/>
  <c r="J6" i="7"/>
  <c r="AB45" i="18" s="1"/>
  <c r="J7" i="7"/>
  <c r="AB22" i="18" s="1"/>
  <c r="J20" i="7"/>
  <c r="J12" i="7"/>
  <c r="AB41" i="18" s="1"/>
  <c r="J8" i="7"/>
  <c r="AB46" i="18" s="1"/>
  <c r="J4" i="7"/>
  <c r="AB12" i="18" s="1"/>
  <c r="J11" i="7"/>
  <c r="AB57" i="18" s="1"/>
  <c r="J2" i="7"/>
  <c r="AB53" i="18" s="1"/>
  <c r="J3" i="7"/>
  <c r="AB42" i="18" s="1"/>
  <c r="J39" i="3"/>
  <c r="J41" i="11"/>
  <c r="AE21" i="18" s="1"/>
  <c r="H38" i="9"/>
  <c r="H17" i="9"/>
  <c r="H23" i="9"/>
  <c r="J18" i="9"/>
  <c r="AD8" i="18" s="1"/>
  <c r="J19" i="9"/>
  <c r="AD2" i="18" s="1"/>
  <c r="J20" i="9"/>
  <c r="AD9" i="18" s="1"/>
  <c r="J21" i="9"/>
  <c r="AD32" i="18" s="1"/>
  <c r="J22" i="9"/>
  <c r="AD33" i="18" s="1"/>
  <c r="J24" i="9"/>
  <c r="AD39" i="18" s="1"/>
  <c r="J25" i="9"/>
  <c r="AD58" i="18" s="1"/>
  <c r="J6" i="9"/>
  <c r="J28" i="9"/>
  <c r="AD30" i="18" s="1"/>
  <c r="J29" i="9"/>
  <c r="AD35" i="18" s="1"/>
  <c r="C24" i="9"/>
  <c r="J30" i="4"/>
  <c r="J21" i="4"/>
  <c r="J13" i="3"/>
  <c r="C41" i="5"/>
  <c r="C6" i="5"/>
  <c r="C3" i="14"/>
  <c r="C2" i="13"/>
  <c r="C4" i="13"/>
  <c r="C3" i="13"/>
  <c r="C37" i="13"/>
  <c r="C5" i="13"/>
  <c r="C34" i="13"/>
  <c r="C7" i="13"/>
  <c r="C41" i="13"/>
  <c r="C8" i="13"/>
  <c r="C9" i="13"/>
  <c r="C10" i="13"/>
  <c r="C12" i="13"/>
  <c r="C22" i="13"/>
  <c r="C13" i="13"/>
  <c r="C14" i="13"/>
  <c r="C16" i="13"/>
  <c r="C15" i="13"/>
  <c r="C17" i="13"/>
  <c r="C18" i="13"/>
  <c r="C19" i="13"/>
  <c r="C20" i="13"/>
  <c r="C21" i="13"/>
  <c r="C48" i="13"/>
  <c r="C23" i="13"/>
  <c r="C24" i="13"/>
  <c r="C25" i="13"/>
  <c r="C26" i="13"/>
  <c r="C31" i="13"/>
  <c r="C64" i="13"/>
  <c r="C28" i="13"/>
  <c r="C29" i="13"/>
  <c r="C30" i="13"/>
  <c r="C6" i="13"/>
  <c r="C32" i="13"/>
  <c r="C38" i="13"/>
  <c r="C16" i="12"/>
  <c r="C5" i="10"/>
  <c r="C12" i="9"/>
  <c r="C4" i="9"/>
  <c r="C5" i="9"/>
  <c r="C64" i="9"/>
  <c r="C7" i="9"/>
  <c r="C8" i="9"/>
  <c r="C9" i="9"/>
  <c r="C10" i="9"/>
  <c r="C11" i="9"/>
  <c r="C13" i="9"/>
  <c r="C14" i="9"/>
  <c r="C16" i="9"/>
  <c r="C15" i="9"/>
  <c r="C40" i="9"/>
  <c r="C2" i="9"/>
  <c r="C18" i="9"/>
  <c r="C19" i="9"/>
  <c r="C20" i="9"/>
  <c r="C21" i="9"/>
  <c r="C22" i="9"/>
  <c r="C25" i="9"/>
  <c r="C6" i="9"/>
  <c r="C9" i="8"/>
  <c r="C5" i="8"/>
  <c r="C53" i="8"/>
  <c r="C8" i="8"/>
  <c r="C17" i="8"/>
  <c r="C11" i="8"/>
  <c r="C7" i="8"/>
  <c r="C4" i="8"/>
  <c r="C6" i="8"/>
  <c r="C43" i="8"/>
  <c r="C64" i="8"/>
  <c r="C13" i="8"/>
  <c r="C14" i="8"/>
  <c r="C16" i="8"/>
  <c r="C18" i="8"/>
  <c r="C33" i="8"/>
  <c r="C2" i="8"/>
  <c r="C19" i="8"/>
  <c r="C20" i="8"/>
  <c r="C22" i="8"/>
  <c r="C21" i="8"/>
  <c r="C34" i="8"/>
  <c r="C24" i="8"/>
  <c r="C25" i="8"/>
  <c r="C26" i="8"/>
  <c r="C29" i="8"/>
  <c r="C28" i="8"/>
  <c r="C27" i="8"/>
  <c r="C31" i="8"/>
  <c r="C32" i="8"/>
  <c r="C36" i="8"/>
  <c r="C35" i="8"/>
  <c r="C37" i="8"/>
  <c r="C38" i="8"/>
  <c r="C40" i="8"/>
  <c r="C3" i="8"/>
  <c r="C41" i="8"/>
  <c r="C42" i="8"/>
  <c r="C47" i="8"/>
  <c r="C45" i="8"/>
  <c r="C46" i="8"/>
  <c r="C12" i="8"/>
  <c r="C48" i="8"/>
  <c r="C49" i="8"/>
  <c r="C50" i="8"/>
  <c r="C15" i="8"/>
  <c r="C10" i="8"/>
  <c r="C51" i="8"/>
  <c r="C52" i="8"/>
  <c r="C54" i="8"/>
  <c r="C30" i="8"/>
  <c r="C55" i="8"/>
  <c r="C56" i="8"/>
  <c r="C57" i="8"/>
  <c r="C58" i="8"/>
  <c r="C59" i="8"/>
  <c r="C39" i="8"/>
  <c r="C60" i="8"/>
  <c r="C23" i="8"/>
  <c r="C61" i="8"/>
  <c r="C62" i="8"/>
  <c r="C63" i="8"/>
  <c r="C65" i="8"/>
  <c r="C66" i="8"/>
  <c r="C125" i="8"/>
  <c r="C2" i="7"/>
  <c r="C44" i="16"/>
  <c r="C2" i="6"/>
  <c r="C4" i="4"/>
  <c r="C2" i="3"/>
  <c r="C6" i="3"/>
  <c r="C55" i="3"/>
  <c r="C5" i="3"/>
  <c r="C4" i="3"/>
  <c r="C42" i="3"/>
  <c r="C8" i="3"/>
  <c r="C30" i="3"/>
  <c r="C9" i="3"/>
  <c r="C3" i="3"/>
  <c r="C11" i="3"/>
  <c r="C7" i="3"/>
  <c r="C3" i="5"/>
  <c r="C5" i="5"/>
  <c r="C2" i="5"/>
  <c r="C23" i="5"/>
  <c r="C48" i="5"/>
  <c r="C7" i="5"/>
  <c r="C9" i="5"/>
  <c r="C8" i="5"/>
  <c r="C46" i="5"/>
  <c r="C12" i="5"/>
  <c r="C16" i="5"/>
  <c r="C14" i="5"/>
  <c r="C15" i="5"/>
  <c r="C17" i="5"/>
  <c r="C18" i="5"/>
  <c r="C19" i="5"/>
  <c r="C20" i="5"/>
  <c r="C21" i="5"/>
  <c r="C22" i="5"/>
  <c r="C24" i="5"/>
  <c r="C25" i="5"/>
  <c r="C27" i="5"/>
  <c r="C28" i="5"/>
  <c r="C29" i="5"/>
  <c r="C30" i="5"/>
  <c r="C31" i="5"/>
  <c r="C32" i="5"/>
  <c r="C33" i="5"/>
  <c r="C34" i="5"/>
  <c r="C35" i="5"/>
  <c r="C36" i="5"/>
  <c r="C37" i="5"/>
  <c r="C38" i="5"/>
  <c r="C64" i="5"/>
  <c r="C39" i="5"/>
  <c r="C10" i="5"/>
  <c r="C40" i="5"/>
  <c r="C42" i="5"/>
  <c r="C43" i="5"/>
  <c r="C44" i="5"/>
  <c r="C45" i="5"/>
  <c r="C47" i="5"/>
  <c r="C49" i="5"/>
  <c r="C50" i="5"/>
  <c r="C51" i="5"/>
  <c r="C26" i="5"/>
  <c r="C52" i="5"/>
  <c r="C53" i="5"/>
  <c r="C54" i="5"/>
  <c r="C55" i="5"/>
  <c r="C56" i="5"/>
  <c r="C57" i="5"/>
  <c r="C58" i="5"/>
  <c r="C4" i="5"/>
  <c r="C59" i="5"/>
  <c r="C11" i="5"/>
  <c r="C60" i="5"/>
  <c r="C61" i="5"/>
  <c r="C13" i="5"/>
  <c r="C62" i="5"/>
  <c r="C63" i="5"/>
  <c r="C65" i="5"/>
  <c r="C66" i="5"/>
  <c r="G11" i="11"/>
  <c r="G18" i="9"/>
  <c r="G21" i="12"/>
  <c r="G58" i="10"/>
  <c r="J33" i="11"/>
  <c r="AE29" i="18" s="1"/>
  <c r="J22" i="11"/>
  <c r="J40" i="9"/>
  <c r="AD52" i="18" s="1"/>
  <c r="J38" i="9"/>
  <c r="AD64" i="18" s="1"/>
  <c r="H49" i="11"/>
  <c r="J49" i="11"/>
  <c r="AE41" i="18" s="1"/>
  <c r="A70" i="12" l="1"/>
  <c r="G68" i="6"/>
  <c r="G68" i="16"/>
  <c r="G68" i="8"/>
  <c r="G68" i="10"/>
  <c r="G15" i="14"/>
  <c r="G70" i="11"/>
  <c r="G68" i="12"/>
  <c r="G68" i="13"/>
  <c r="G68" i="14"/>
  <c r="G68" i="5"/>
  <c r="A69" i="9"/>
  <c r="A70" i="9"/>
  <c r="A70" i="8"/>
  <c r="A69" i="10"/>
  <c r="A70" i="10"/>
  <c r="A70" i="5"/>
  <c r="A8" i="4"/>
  <c r="G70" i="14"/>
  <c r="J10" i="18"/>
  <c r="I10" i="18" s="1"/>
  <c r="A70" i="7"/>
  <c r="A70" i="6"/>
  <c r="A69" i="16"/>
  <c r="G70" i="15"/>
  <c r="A69" i="15"/>
  <c r="G70" i="10"/>
  <c r="G70" i="13"/>
  <c r="A69" i="13"/>
  <c r="G70" i="12"/>
  <c r="A68" i="12"/>
  <c r="G72" i="11"/>
  <c r="A71" i="11"/>
  <c r="A68" i="10"/>
  <c r="G70" i="8"/>
  <c r="G70" i="9"/>
  <c r="A68" i="9"/>
  <c r="A67" i="9"/>
  <c r="A69" i="8"/>
  <c r="A68" i="8"/>
  <c r="G70" i="7"/>
  <c r="G70" i="17"/>
  <c r="G70" i="6"/>
  <c r="G70" i="16"/>
  <c r="A68" i="16"/>
  <c r="H70" i="5"/>
  <c r="G8" i="4"/>
  <c r="G70" i="5"/>
  <c r="H70" i="3"/>
  <c r="G70" i="3"/>
  <c r="G43" i="18"/>
  <c r="G69" i="9"/>
  <c r="G69" i="15"/>
  <c r="A68" i="3"/>
  <c r="J20" i="18"/>
  <c r="I20" i="18" s="1"/>
  <c r="A69" i="3"/>
  <c r="A69" i="4"/>
  <c r="A68" i="5"/>
  <c r="A69" i="5"/>
  <c r="A69" i="7"/>
  <c r="A68" i="7"/>
  <c r="A69" i="6"/>
  <c r="A68" i="6"/>
  <c r="A67" i="6"/>
  <c r="A67" i="15"/>
  <c r="G69" i="14"/>
  <c r="G69" i="13"/>
  <c r="G69" i="12"/>
  <c r="A67" i="12"/>
  <c r="G71" i="11"/>
  <c r="A69" i="11"/>
  <c r="G69" i="10"/>
  <c r="G69" i="8"/>
  <c r="G69" i="7"/>
  <c r="G69" i="17"/>
  <c r="A67" i="17"/>
  <c r="G69" i="16"/>
  <c r="G69" i="6"/>
  <c r="G70" i="4"/>
  <c r="A70" i="4"/>
  <c r="G69" i="5"/>
  <c r="H69" i="5"/>
  <c r="H68" i="5"/>
  <c r="G69" i="3"/>
  <c r="H69" i="3"/>
  <c r="H68" i="3"/>
  <c r="G20" i="18"/>
  <c r="J67" i="1"/>
  <c r="H67" i="3"/>
  <c r="H67" i="5"/>
  <c r="G40" i="18"/>
  <c r="A67" i="8"/>
  <c r="J40" i="18"/>
  <c r="I40" i="18" s="1"/>
  <c r="A67" i="10"/>
  <c r="A67" i="13"/>
  <c r="A67" i="3"/>
  <c r="A68" i="4"/>
  <c r="A67" i="5"/>
  <c r="A67" i="7"/>
  <c r="A23" i="15"/>
  <c r="A5" i="15"/>
  <c r="A26" i="14"/>
  <c r="A8" i="14"/>
  <c r="A27" i="13"/>
  <c r="A53" i="13"/>
  <c r="A13" i="13"/>
  <c r="A60" i="13"/>
  <c r="A52" i="13"/>
  <c r="A43" i="13"/>
  <c r="A20" i="13"/>
  <c r="A59" i="13"/>
  <c r="A51" i="13"/>
  <c r="A42" i="13"/>
  <c r="A34" i="13"/>
  <c r="A66" i="13"/>
  <c r="A58" i="13"/>
  <c r="A50" i="13"/>
  <c r="A41" i="13"/>
  <c r="A26" i="13"/>
  <c r="A37" i="13"/>
  <c r="A65" i="13"/>
  <c r="A57" i="13"/>
  <c r="A49" i="13"/>
  <c r="A25" i="13"/>
  <c r="A44" i="13"/>
  <c r="A64" i="13"/>
  <c r="A56" i="13"/>
  <c r="A47" i="13"/>
  <c r="A39" i="13"/>
  <c r="A24" i="13"/>
  <c r="A15" i="13"/>
  <c r="A22" i="13"/>
  <c r="A7" i="13"/>
  <c r="A61" i="13"/>
  <c r="A32" i="13"/>
  <c r="A62" i="13"/>
  <c r="A55" i="13"/>
  <c r="A46" i="13"/>
  <c r="A36" i="13"/>
  <c r="A16" i="13"/>
  <c r="A30" i="13"/>
  <c r="A63" i="13"/>
  <c r="A54" i="13"/>
  <c r="A45" i="13"/>
  <c r="A35" i="13"/>
  <c r="A48" i="13"/>
  <c r="A38" i="13"/>
  <c r="A11" i="13"/>
  <c r="A8" i="13"/>
  <c r="A24" i="12"/>
  <c r="A6" i="12"/>
  <c r="W52" i="18"/>
  <c r="G64" i="18"/>
  <c r="F64" i="18"/>
  <c r="A31" i="13"/>
  <c r="A19" i="13"/>
  <c r="A12" i="13"/>
  <c r="A4" i="13"/>
  <c r="A18" i="13"/>
  <c r="A10" i="13"/>
  <c r="A3" i="13"/>
  <c r="A33" i="13"/>
  <c r="A29" i="13"/>
  <c r="A23" i="13"/>
  <c r="A17" i="13"/>
  <c r="A9" i="13"/>
  <c r="A5" i="13"/>
  <c r="A40" i="13"/>
  <c r="A6" i="13"/>
  <c r="A28" i="13"/>
  <c r="A21" i="13"/>
  <c r="A14" i="13"/>
  <c r="A16" i="15"/>
  <c r="A19" i="14"/>
  <c r="G27" i="7"/>
  <c r="G25" i="10"/>
  <c r="G30" i="7"/>
  <c r="G13" i="12"/>
  <c r="G22" i="16"/>
  <c r="G58" i="6"/>
  <c r="G57" i="9"/>
  <c r="G12" i="17"/>
  <c r="G59" i="16"/>
  <c r="G29" i="3"/>
  <c r="G58" i="3"/>
  <c r="G17" i="4"/>
  <c r="G27" i="5"/>
  <c r="G5" i="5"/>
  <c r="G57" i="11"/>
  <c r="G27" i="8"/>
  <c r="G12" i="3"/>
  <c r="G57" i="17"/>
  <c r="G20" i="17"/>
  <c r="G22" i="6"/>
  <c r="G23" i="4"/>
  <c r="G57" i="5"/>
  <c r="G57" i="15"/>
  <c r="G20" i="15"/>
  <c r="G58" i="14"/>
  <c r="G21" i="14"/>
  <c r="G4" i="13"/>
  <c r="G23" i="10"/>
  <c r="G25" i="8"/>
  <c r="G22" i="3"/>
  <c r="G20" i="16"/>
  <c r="G14" i="6"/>
  <c r="G61" i="7"/>
  <c r="G24" i="13"/>
  <c r="G58" i="12"/>
  <c r="G17" i="10"/>
  <c r="G20" i="9"/>
  <c r="G57" i="8"/>
  <c r="G19" i="8"/>
  <c r="G14" i="16"/>
  <c r="G20" i="6"/>
  <c r="G59" i="4"/>
  <c r="G22" i="5"/>
  <c r="G32" i="7"/>
  <c r="G23" i="14"/>
  <c r="G18" i="13"/>
  <c r="G19" i="11"/>
  <c r="G13" i="9"/>
  <c r="G28" i="3"/>
  <c r="G18" i="17"/>
  <c r="G27" i="4"/>
  <c r="G18" i="15"/>
  <c r="G58" i="13"/>
  <c r="G17" i="11"/>
  <c r="G12" i="15"/>
  <c r="G19" i="12"/>
  <c r="G43" i="8"/>
  <c r="G38" i="9"/>
  <c r="G42" i="10"/>
  <c r="G37" i="11"/>
  <c r="G38" i="12"/>
  <c r="G39" i="13"/>
  <c r="G41" i="14"/>
  <c r="G37" i="15"/>
  <c r="G48" i="7"/>
  <c r="G40" i="4"/>
  <c r="G39" i="6"/>
  <c r="G40" i="16"/>
  <c r="G38" i="17"/>
  <c r="G44" i="3"/>
  <c r="H44" i="3"/>
  <c r="A2" i="12"/>
  <c r="G67" i="8" l="1"/>
  <c r="G67" i="7"/>
  <c r="G67" i="5"/>
  <c r="G67" i="10"/>
  <c r="G67" i="14"/>
  <c r="G69" i="11"/>
  <c r="G68" i="4"/>
  <c r="G67" i="17"/>
  <c r="G67" i="3"/>
  <c r="G67" i="15"/>
  <c r="G67" i="12"/>
  <c r="G67" i="9"/>
  <c r="G67" i="6"/>
  <c r="F40" i="18"/>
  <c r="G67" i="13"/>
  <c r="G67" i="16"/>
  <c r="A65" i="7"/>
  <c r="A28" i="7"/>
  <c r="A50" i="7"/>
  <c r="J66" i="17"/>
  <c r="J65" i="17"/>
  <c r="J63" i="17"/>
  <c r="J62" i="17"/>
  <c r="J16" i="17"/>
  <c r="J61" i="17"/>
  <c r="J26" i="17"/>
  <c r="J60" i="17"/>
  <c r="J38" i="17"/>
  <c r="J59" i="17"/>
  <c r="J57" i="17"/>
  <c r="J56" i="17"/>
  <c r="J55" i="17"/>
  <c r="J54" i="17"/>
  <c r="J53" i="17"/>
  <c r="J52" i="17"/>
  <c r="J51" i="17"/>
  <c r="J64" i="17"/>
  <c r="J50" i="17"/>
  <c r="J49" i="17"/>
  <c r="J48" i="17"/>
  <c r="J47" i="17"/>
  <c r="J40" i="17"/>
  <c r="J23" i="17"/>
  <c r="J45" i="17"/>
  <c r="J44" i="17"/>
  <c r="J43" i="17"/>
  <c r="J41" i="17"/>
  <c r="J39" i="17"/>
  <c r="J46" i="17"/>
  <c r="J36" i="17"/>
  <c r="J35" i="17"/>
  <c r="J5" i="17"/>
  <c r="J34" i="17"/>
  <c r="J33" i="17"/>
  <c r="J30" i="17"/>
  <c r="J29" i="17"/>
  <c r="J28" i="17"/>
  <c r="J25" i="17"/>
  <c r="J24" i="17"/>
  <c r="J22" i="17"/>
  <c r="J21" i="17"/>
  <c r="J20" i="17"/>
  <c r="J19" i="17"/>
  <c r="J18" i="17"/>
  <c r="J15" i="17"/>
  <c r="J14" i="17"/>
  <c r="J13" i="17"/>
  <c r="J12" i="17"/>
  <c r="J11" i="17"/>
  <c r="J10" i="17"/>
  <c r="J9" i="17"/>
  <c r="J8" i="17"/>
  <c r="J7" i="17"/>
  <c r="J6" i="17"/>
  <c r="J4" i="17"/>
  <c r="J3" i="17"/>
  <c r="J31" i="17"/>
  <c r="J37" i="17"/>
  <c r="J17" i="17"/>
  <c r="J32" i="17"/>
  <c r="J27" i="17"/>
  <c r="J58" i="17"/>
  <c r="J2" i="17"/>
  <c r="J42" i="17"/>
  <c r="J25" i="16"/>
  <c r="A10" i="17" l="1"/>
  <c r="A13" i="17"/>
  <c r="A17" i="17"/>
  <c r="A7" i="17"/>
  <c r="A37" i="17"/>
  <c r="A18" i="17"/>
  <c r="A58" i="17"/>
  <c r="A32" i="17"/>
  <c r="A4" i="17"/>
  <c r="A11" i="17"/>
  <c r="A31" i="17"/>
  <c r="A3" i="17"/>
  <c r="A15" i="17"/>
  <c r="A29" i="17"/>
  <c r="A20" i="17"/>
  <c r="A28" i="17"/>
  <c r="A14" i="17"/>
  <c r="A9" i="17"/>
  <c r="A12" i="17"/>
  <c r="A22" i="17"/>
  <c r="A25" i="17"/>
  <c r="A27" i="17"/>
  <c r="A6" i="17"/>
  <c r="A8" i="17"/>
  <c r="A19" i="17"/>
  <c r="A21" i="17"/>
  <c r="A24" i="17"/>
  <c r="A56" i="17"/>
  <c r="A26" i="17"/>
  <c r="A63" i="17"/>
  <c r="A36" i="17"/>
  <c r="A43" i="17"/>
  <c r="A50" i="17"/>
  <c r="A55" i="17"/>
  <c r="A33" i="17"/>
  <c r="A46" i="17"/>
  <c r="A47" i="17"/>
  <c r="A64" i="17"/>
  <c r="A2" i="17"/>
  <c r="A35" i="17"/>
  <c r="A40" i="17"/>
  <c r="A60" i="17"/>
  <c r="A62" i="17"/>
  <c r="A23" i="17"/>
  <c r="A5" i="17"/>
  <c r="A45" i="17"/>
  <c r="A53" i="17"/>
  <c r="A38" i="17"/>
  <c r="A16" i="17"/>
  <c r="A66" i="17"/>
  <c r="A42" i="17"/>
  <c r="A41" i="17"/>
  <c r="A44" i="17"/>
  <c r="A52" i="17"/>
  <c r="A54" i="17"/>
  <c r="A30" i="17"/>
  <c r="A34" i="17"/>
  <c r="A39" i="17"/>
  <c r="A51" i="17"/>
  <c r="A57" i="17"/>
  <c r="A59" i="17"/>
  <c r="A61" i="17"/>
  <c r="A65" i="17"/>
  <c r="A49" i="17"/>
  <c r="A48" i="17"/>
  <c r="J38" i="6"/>
  <c r="Z62" i="18" s="1"/>
  <c r="J26" i="5"/>
  <c r="J47" i="5"/>
  <c r="Y60" i="18" s="1"/>
  <c r="J45" i="9"/>
  <c r="AD60" i="18" s="1"/>
  <c r="J3" i="9"/>
  <c r="AD56" i="18" s="1"/>
  <c r="J2" i="9"/>
  <c r="AD61" i="18" s="1"/>
  <c r="J36" i="9"/>
  <c r="AD50" i="18" s="1"/>
  <c r="J59" i="9"/>
  <c r="AD59" i="18" s="1"/>
  <c r="J31" i="9"/>
  <c r="AD63" i="18" s="1"/>
  <c r="J23" i="9"/>
  <c r="J61" i="9"/>
  <c r="AD57" i="18" s="1"/>
  <c r="J32" i="9"/>
  <c r="J58" i="9"/>
  <c r="AD55" i="18" s="1"/>
  <c r="J60" i="9"/>
  <c r="AD53" i="18" s="1"/>
  <c r="J50" i="9"/>
  <c r="AD51" i="18" s="1"/>
  <c r="J54" i="9"/>
  <c r="AD49" i="18" s="1"/>
  <c r="J56" i="9"/>
  <c r="AD48" i="18" s="1"/>
  <c r="J5" i="9"/>
  <c r="AD47" i="18" s="1"/>
  <c r="J8" i="9"/>
  <c r="AD46" i="18" s="1"/>
  <c r="J14" i="9"/>
  <c r="AD45" i="18" s="1"/>
  <c r="J17" i="9"/>
  <c r="J30" i="9"/>
  <c r="AD44" i="18" s="1"/>
  <c r="J53" i="9"/>
  <c r="AD42" i="18" s="1"/>
  <c r="J49" i="9"/>
  <c r="AD41" i="18" s="1"/>
  <c r="J11" i="9"/>
  <c r="AD38" i="18" s="1"/>
  <c r="J10" i="9"/>
  <c r="AD37" i="18" s="1"/>
  <c r="J9" i="9"/>
  <c r="AD34" i="18" s="1"/>
  <c r="J27" i="9"/>
  <c r="J47" i="9"/>
  <c r="AD31" i="18" s="1"/>
  <c r="J34" i="9"/>
  <c r="AD29" i="18" s="1"/>
  <c r="J63" i="9"/>
  <c r="AD28" i="18" s="1"/>
  <c r="J62" i="9"/>
  <c r="AD27" i="18" s="1"/>
  <c r="J57" i="9"/>
  <c r="AD26" i="18" s="1"/>
  <c r="J48" i="9"/>
  <c r="AD25" i="18" s="1"/>
  <c r="J26" i="9"/>
  <c r="J41" i="9"/>
  <c r="AD23" i="18" s="1"/>
  <c r="J65" i="9"/>
  <c r="AD22" i="18" s="1"/>
  <c r="J42" i="9"/>
  <c r="AD21" i="18" s="1"/>
  <c r="J4" i="9"/>
  <c r="AD19" i="18" s="1"/>
  <c r="J52" i="9"/>
  <c r="AD18" i="18" s="1"/>
  <c r="J37" i="9"/>
  <c r="AD62" i="18" s="1"/>
  <c r="J55" i="9"/>
  <c r="AD17" i="18" s="1"/>
  <c r="J46" i="9"/>
  <c r="J39" i="9"/>
  <c r="AD15" i="18" s="1"/>
  <c r="J35" i="9"/>
  <c r="AD14" i="18" s="1"/>
  <c r="J15" i="9"/>
  <c r="AD12" i="18" s="1"/>
  <c r="J51" i="9"/>
  <c r="AD11" i="18" s="1"/>
  <c r="J13" i="9"/>
  <c r="AD6" i="18" s="1"/>
  <c r="J44" i="9"/>
  <c r="AD4" i="18" s="1"/>
  <c r="J66" i="9"/>
  <c r="AD3" i="18" s="1"/>
  <c r="J16" i="9"/>
  <c r="AD13" i="18" s="1"/>
  <c r="J64" i="9"/>
  <c r="J43" i="9"/>
  <c r="AD24" i="18" s="1"/>
  <c r="J12" i="9"/>
  <c r="AD54" i="18" s="1"/>
  <c r="J7" i="9"/>
  <c r="AD36" i="18" s="1"/>
  <c r="J33" i="9"/>
  <c r="AD5" i="18" s="1"/>
  <c r="J47" i="6"/>
  <c r="Z60" i="18" s="1"/>
  <c r="A43" i="10" l="1"/>
  <c r="A44" i="8"/>
  <c r="A42" i="16"/>
  <c r="A35" i="16"/>
  <c r="A41" i="6"/>
  <c r="A45" i="3"/>
  <c r="A41" i="11"/>
  <c r="A3" i="11"/>
  <c r="A13" i="3"/>
  <c r="A26" i="16"/>
  <c r="A24" i="16"/>
  <c r="A24" i="9"/>
  <c r="A20" i="15"/>
  <c r="A25" i="15"/>
  <c r="A31" i="8"/>
  <c r="A21" i="4"/>
  <c r="A30" i="4"/>
  <c r="A40" i="9"/>
  <c r="A38" i="9"/>
  <c r="A5" i="11"/>
  <c r="A22" i="11"/>
  <c r="A33" i="11"/>
  <c r="A36" i="11"/>
  <c r="A49" i="11"/>
  <c r="A26" i="15"/>
  <c r="A25" i="16"/>
  <c r="A38" i="6"/>
  <c r="A26" i="5"/>
  <c r="J19" i="6"/>
  <c r="Z61" i="18" s="1"/>
  <c r="J45" i="6"/>
  <c r="Z56" i="18" s="1"/>
  <c r="J45" i="5"/>
  <c r="Y56" i="18" s="1"/>
  <c r="G59" i="18"/>
  <c r="G56" i="18"/>
  <c r="J48" i="5"/>
  <c r="J29" i="16"/>
  <c r="J45" i="16"/>
  <c r="AA56" i="18" s="1"/>
  <c r="J47" i="16"/>
  <c r="AA60" i="18" s="1"/>
  <c r="J39" i="4"/>
  <c r="X62" i="18" s="1"/>
  <c r="J7" i="4"/>
  <c r="X63" i="18" s="1"/>
  <c r="J46" i="4"/>
  <c r="X56" i="18" s="1"/>
  <c r="J47" i="4"/>
  <c r="X60" i="18" s="1"/>
  <c r="J47" i="3"/>
  <c r="J6" i="3"/>
  <c r="J12" i="8"/>
  <c r="AC56" i="18" s="1"/>
  <c r="J8" i="8"/>
  <c r="AC60" i="18" s="1"/>
  <c r="J42" i="8"/>
  <c r="AC62" i="18" s="1"/>
  <c r="J31" i="15"/>
  <c r="J43" i="15"/>
  <c r="AJ56" i="18" s="1"/>
  <c r="J45" i="15"/>
  <c r="AJ60" i="18" s="1"/>
  <c r="J36" i="15"/>
  <c r="AJ62" i="18" s="1"/>
  <c r="J47" i="14"/>
  <c r="AI56" i="18" s="1"/>
  <c r="J49" i="14"/>
  <c r="AI60" i="18" s="1"/>
  <c r="J34" i="14"/>
  <c r="AI63" i="18" s="1"/>
  <c r="J30" i="13"/>
  <c r="J45" i="13"/>
  <c r="AH56" i="18" s="1"/>
  <c r="J47" i="13"/>
  <c r="AH60" i="18" s="1"/>
  <c r="J44" i="12"/>
  <c r="AG56" i="18" s="1"/>
  <c r="J46" i="12"/>
  <c r="AG60" i="18" s="1"/>
  <c r="J2" i="10"/>
  <c r="AF56" i="18" s="1"/>
  <c r="J48" i="10"/>
  <c r="AF60" i="18" s="1"/>
  <c r="J35" i="10"/>
  <c r="AF63" i="18" s="1"/>
  <c r="J61" i="4"/>
  <c r="X59" i="18" s="1"/>
  <c r="J37" i="4"/>
  <c r="X50" i="18" s="1"/>
  <c r="J19" i="16"/>
  <c r="AA61" i="18" s="1"/>
  <c r="J38" i="16"/>
  <c r="AA50" i="18" s="1"/>
  <c r="J18" i="16"/>
  <c r="J3" i="16"/>
  <c r="J8" i="16"/>
  <c r="AA36" i="18" s="1"/>
  <c r="J23" i="15"/>
  <c r="J64" i="15"/>
  <c r="J35" i="15"/>
  <c r="AJ50" i="18" s="1"/>
  <c r="J59" i="15"/>
  <c r="AJ59" i="18" s="1"/>
  <c r="AI13" i="18"/>
  <c r="J43" i="14"/>
  <c r="AI52" i="18" s="1"/>
  <c r="J39" i="14"/>
  <c r="AI50" i="18" s="1"/>
  <c r="J60" i="14"/>
  <c r="AI59" i="18" s="1"/>
  <c r="J4" i="12"/>
  <c r="AG50" i="18" s="1"/>
  <c r="J18" i="12"/>
  <c r="AG61" i="18" s="1"/>
  <c r="J60" i="12"/>
  <c r="AG59" i="18" s="1"/>
  <c r="J27" i="12"/>
  <c r="J8" i="11"/>
  <c r="AE37" i="18" s="1"/>
  <c r="J59" i="11"/>
  <c r="AE59" i="18" s="1"/>
  <c r="J40" i="10"/>
  <c r="AF50" i="18" s="1"/>
  <c r="J22" i="10"/>
  <c r="AF61" i="18" s="1"/>
  <c r="J60" i="10"/>
  <c r="AF59" i="18" s="1"/>
  <c r="J37" i="13"/>
  <c r="AH50" i="18" s="1"/>
  <c r="J60" i="13"/>
  <c r="AH59" i="18" s="1"/>
  <c r="J66" i="8"/>
  <c r="AC3" i="18" s="1"/>
  <c r="J6" i="8"/>
  <c r="AC50" i="18" s="1"/>
  <c r="J24" i="8"/>
  <c r="AC61" i="18" s="1"/>
  <c r="J59" i="8"/>
  <c r="AC59" i="18" s="1"/>
  <c r="J29" i="6"/>
  <c r="J60" i="6"/>
  <c r="Z59" i="18" s="1"/>
  <c r="J37" i="6"/>
  <c r="Z50" i="18" s="1"/>
  <c r="J34" i="6"/>
  <c r="J38" i="3"/>
  <c r="J60" i="3"/>
  <c r="J42" i="3"/>
  <c r="J11" i="5"/>
  <c r="J59" i="5"/>
  <c r="Y59" i="18" s="1"/>
  <c r="J10" i="5"/>
  <c r="Y50" i="18" s="1"/>
  <c r="J7" i="5"/>
  <c r="Y61" i="18" s="1"/>
  <c r="J16" i="3"/>
  <c r="J12" i="4"/>
  <c r="X36" i="18" s="1"/>
  <c r="J5" i="8"/>
  <c r="AC36" i="18" s="1"/>
  <c r="J11" i="10"/>
  <c r="AF36" i="18" s="1"/>
  <c r="J7" i="12"/>
  <c r="AG36" i="18" s="1"/>
  <c r="J12" i="13"/>
  <c r="AH36" i="18" s="1"/>
  <c r="J6" i="15"/>
  <c r="AJ36" i="18" s="1"/>
  <c r="W60" i="18" l="1"/>
  <c r="W56" i="18"/>
  <c r="W36" i="18"/>
  <c r="W59" i="18"/>
  <c r="W50" i="18"/>
  <c r="W63" i="18"/>
  <c r="H60" i="3"/>
  <c r="H47" i="3"/>
  <c r="F56" i="18"/>
  <c r="F59" i="18"/>
  <c r="J16" i="5"/>
  <c r="J43" i="3"/>
  <c r="J26" i="3"/>
  <c r="J35" i="14"/>
  <c r="AI36" i="18"/>
  <c r="J8" i="13"/>
  <c r="J33" i="12"/>
  <c r="J47" i="11"/>
  <c r="AE31" i="18" s="1"/>
  <c r="J28" i="11"/>
  <c r="AE35" i="18" s="1"/>
  <c r="J25" i="11"/>
  <c r="J41" i="10"/>
  <c r="AF62" i="18" s="1"/>
  <c r="J64" i="8"/>
  <c r="J17" i="6"/>
  <c r="Z13" i="18" s="1"/>
  <c r="J8" i="6"/>
  <c r="Z36" i="18" s="1"/>
  <c r="J41" i="5"/>
  <c r="J17" i="5"/>
  <c r="Y36" i="18" s="1"/>
  <c r="J44" i="13"/>
  <c r="AH24" i="18" s="1"/>
  <c r="J41" i="13"/>
  <c r="AH52" i="18" s="1"/>
  <c r="J40" i="12"/>
  <c r="AG52" i="18" s="1"/>
  <c r="J43" i="12"/>
  <c r="AG24" i="18" s="1"/>
  <c r="J36" i="11"/>
  <c r="AE62" i="18" s="1"/>
  <c r="J5" i="11"/>
  <c r="AE36" i="18" s="1"/>
  <c r="J46" i="10"/>
  <c r="AF24" i="18" s="1"/>
  <c r="J11" i="8"/>
  <c r="AC24" i="18" s="1"/>
  <c r="J34" i="8"/>
  <c r="J43" i="8"/>
  <c r="AC64" i="18" s="1"/>
  <c r="J48" i="6"/>
  <c r="J44" i="6"/>
  <c r="Z24" i="18" s="1"/>
  <c r="J7" i="6"/>
  <c r="J44" i="5"/>
  <c r="Y24" i="18" s="1"/>
  <c r="J45" i="4"/>
  <c r="X24" i="18" s="1"/>
  <c r="J7" i="3"/>
  <c r="J44" i="3"/>
  <c r="J27" i="15"/>
  <c r="A6" i="3"/>
  <c r="A46" i="4"/>
  <c r="A45" i="16"/>
  <c r="A54" i="7"/>
  <c r="J11" i="15"/>
  <c r="AJ54" i="18" s="1"/>
  <c r="J42" i="15"/>
  <c r="AJ24" i="18" s="1"/>
  <c r="J29" i="14"/>
  <c r="AI54" i="18"/>
  <c r="J46" i="14"/>
  <c r="AI24" i="18" s="1"/>
  <c r="J40" i="14"/>
  <c r="AI62" i="18" s="1"/>
  <c r="J17" i="13"/>
  <c r="AH54" i="18" s="1"/>
  <c r="J12" i="12"/>
  <c r="AG54" i="18" s="1"/>
  <c r="J14" i="11"/>
  <c r="AE13" i="18" s="1"/>
  <c r="J13" i="11"/>
  <c r="AE12" i="18" s="1"/>
  <c r="J66" i="11"/>
  <c r="J64" i="3"/>
  <c r="J21" i="3"/>
  <c r="J6" i="4"/>
  <c r="J16" i="4"/>
  <c r="X54" i="18" s="1"/>
  <c r="J49" i="4"/>
  <c r="J40" i="4"/>
  <c r="X64" i="18" s="1"/>
  <c r="J64" i="5"/>
  <c r="J2" i="5"/>
  <c r="Y54" i="18" s="1"/>
  <c r="J18" i="6"/>
  <c r="J65" i="6"/>
  <c r="J13" i="6"/>
  <c r="Z54" i="18" s="1"/>
  <c r="J28" i="16"/>
  <c r="J13" i="16"/>
  <c r="AA54" i="18" s="1"/>
  <c r="J48" i="16"/>
  <c r="J44" i="16"/>
  <c r="AA24" i="18" s="1"/>
  <c r="J37" i="8"/>
  <c r="AC44" i="18" s="1"/>
  <c r="J2" i="8"/>
  <c r="AC54" i="18" s="1"/>
  <c r="J47" i="8"/>
  <c r="J65" i="10"/>
  <c r="J16" i="10"/>
  <c r="AF54" i="18" s="1"/>
  <c r="G44" i="18"/>
  <c r="J32" i="16"/>
  <c r="AA44" i="18" s="1"/>
  <c r="J32" i="6"/>
  <c r="Z44" i="18" s="1"/>
  <c r="J34" i="4"/>
  <c r="X44" i="18" s="1"/>
  <c r="J37" i="3"/>
  <c r="J35" i="5"/>
  <c r="Y44" i="18" s="1"/>
  <c r="J30" i="15"/>
  <c r="AJ44" i="18" s="1"/>
  <c r="J33" i="14"/>
  <c r="AI44" i="18" s="1"/>
  <c r="J33" i="13"/>
  <c r="AH44" i="18" s="1"/>
  <c r="J31" i="12"/>
  <c r="AG44" i="18" s="1"/>
  <c r="J16" i="11"/>
  <c r="AE61" i="18" s="1"/>
  <c r="J34" i="10"/>
  <c r="AF44" i="18" s="1"/>
  <c r="J131" i="3"/>
  <c r="G35" i="18"/>
  <c r="G15" i="18"/>
  <c r="G14" i="18"/>
  <c r="G49" i="18"/>
  <c r="G16" i="18"/>
  <c r="G6" i="18"/>
  <c r="G32" i="18"/>
  <c r="G18" i="18"/>
  <c r="G19" i="18"/>
  <c r="G29" i="18"/>
  <c r="G3" i="18"/>
  <c r="G31" i="18"/>
  <c r="G9" i="18"/>
  <c r="G23" i="18"/>
  <c r="G30" i="18"/>
  <c r="G27" i="18"/>
  <c r="G47" i="18"/>
  <c r="G26" i="18"/>
  <c r="G41" i="18"/>
  <c r="G45" i="18"/>
  <c r="G8" i="18"/>
  <c r="G58" i="18"/>
  <c r="G54" i="18"/>
  <c r="G24" i="18"/>
  <c r="G13" i="18"/>
  <c r="G62" i="18"/>
  <c r="G63" i="18"/>
  <c r="G66" i="18"/>
  <c r="G67" i="18"/>
  <c r="G69" i="18"/>
  <c r="J27" i="16"/>
  <c r="AA58" i="18" s="1"/>
  <c r="J62" i="16"/>
  <c r="AA57" i="18" s="1"/>
  <c r="J33" i="16"/>
  <c r="AA63" i="18" s="1"/>
  <c r="J4" i="16"/>
  <c r="AA55" i="18" s="1"/>
  <c r="J61" i="16"/>
  <c r="AA53" i="18" s="1"/>
  <c r="J39" i="16"/>
  <c r="AA62" i="18" s="1"/>
  <c r="J52" i="16"/>
  <c r="AA51" i="18" s="1"/>
  <c r="J56" i="16"/>
  <c r="AA49" i="18" s="1"/>
  <c r="J58" i="16"/>
  <c r="AA48" i="18" s="1"/>
  <c r="J6" i="16"/>
  <c r="AA47" i="18" s="1"/>
  <c r="J9" i="16"/>
  <c r="AA46" i="18" s="1"/>
  <c r="J7" i="16"/>
  <c r="J15" i="16"/>
  <c r="AA45" i="18" s="1"/>
  <c r="J55" i="16"/>
  <c r="AA42" i="18" s="1"/>
  <c r="J51" i="16"/>
  <c r="AA41" i="18" s="1"/>
  <c r="J26" i="16"/>
  <c r="AA39" i="18" s="1"/>
  <c r="J12" i="16"/>
  <c r="AA38" i="18" s="1"/>
  <c r="J11" i="16"/>
  <c r="AA37" i="18" s="1"/>
  <c r="J31" i="16"/>
  <c r="AA35" i="18" s="1"/>
  <c r="J10" i="16"/>
  <c r="AA34" i="18" s="1"/>
  <c r="J60" i="16"/>
  <c r="AA59" i="18" s="1"/>
  <c r="J34" i="16"/>
  <c r="J17" i="16"/>
  <c r="AA13" i="18" s="1"/>
  <c r="J24" i="16"/>
  <c r="AA33" i="18" s="1"/>
  <c r="J23" i="16"/>
  <c r="AA32" i="18" s="1"/>
  <c r="J49" i="16"/>
  <c r="AA31" i="18" s="1"/>
  <c r="J30" i="16"/>
  <c r="AA30" i="18" s="1"/>
  <c r="J36" i="16"/>
  <c r="AA29" i="18" s="1"/>
  <c r="J64" i="16"/>
  <c r="AA28" i="18" s="1"/>
  <c r="J63" i="16"/>
  <c r="AA27" i="18" s="1"/>
  <c r="J59" i="16"/>
  <c r="AA26" i="18" s="1"/>
  <c r="J50" i="16"/>
  <c r="AA25" i="18" s="1"/>
  <c r="J43" i="16"/>
  <c r="AA23" i="18" s="1"/>
  <c r="J65" i="16"/>
  <c r="AA22" i="18" s="1"/>
  <c r="J2" i="16"/>
  <c r="AA21" i="18" s="1"/>
  <c r="J5" i="16"/>
  <c r="AA19" i="18" s="1"/>
  <c r="J54" i="16"/>
  <c r="AA18" i="18" s="1"/>
  <c r="J57" i="16"/>
  <c r="AA17" i="18" s="1"/>
  <c r="J21" i="16"/>
  <c r="AA2" i="18" s="1"/>
  <c r="J41" i="16"/>
  <c r="AA15" i="18" s="1"/>
  <c r="J37" i="16"/>
  <c r="AA14" i="18" s="1"/>
  <c r="J16" i="16"/>
  <c r="AA12" i="18" s="1"/>
  <c r="J53" i="16"/>
  <c r="AA11" i="18" s="1"/>
  <c r="J22" i="16"/>
  <c r="AA9" i="18" s="1"/>
  <c r="J20" i="16"/>
  <c r="AA8" i="18" s="1"/>
  <c r="J14" i="16"/>
  <c r="AA6" i="18" s="1"/>
  <c r="J40" i="16"/>
  <c r="AA64" i="18" s="1"/>
  <c r="J35" i="16"/>
  <c r="AA5" i="18" s="1"/>
  <c r="J46" i="16"/>
  <c r="AA4" i="18" s="1"/>
  <c r="J66" i="16"/>
  <c r="AA3" i="18" s="1"/>
  <c r="J25" i="15"/>
  <c r="AJ58" i="18" s="1"/>
  <c r="J61" i="15"/>
  <c r="AJ57" i="18" s="1"/>
  <c r="J5" i="15"/>
  <c r="J17" i="15"/>
  <c r="AJ61" i="18" s="1"/>
  <c r="J58" i="15"/>
  <c r="AJ55" i="18" s="1"/>
  <c r="J60" i="15"/>
  <c r="AJ53" i="18" s="1"/>
  <c r="J2" i="15"/>
  <c r="AJ63" i="18" s="1"/>
  <c r="J50" i="15"/>
  <c r="AJ51" i="18" s="1"/>
  <c r="J54" i="15"/>
  <c r="AJ49" i="18" s="1"/>
  <c r="J56" i="15"/>
  <c r="AJ48" i="18" s="1"/>
  <c r="J4" i="15"/>
  <c r="AJ47" i="18" s="1"/>
  <c r="J7" i="15"/>
  <c r="AJ46" i="18" s="1"/>
  <c r="J13" i="15"/>
  <c r="AJ45" i="18" s="1"/>
  <c r="J53" i="15"/>
  <c r="AJ42" i="18" s="1"/>
  <c r="J49" i="15"/>
  <c r="AJ41" i="18" s="1"/>
  <c r="J24" i="15"/>
  <c r="AJ39" i="18" s="1"/>
  <c r="J10" i="15"/>
  <c r="AJ38" i="18" s="1"/>
  <c r="J46" i="15"/>
  <c r="J9" i="15"/>
  <c r="AJ37" i="18" s="1"/>
  <c r="J29" i="15"/>
  <c r="AJ35" i="18" s="1"/>
  <c r="J8" i="15"/>
  <c r="AJ34" i="18" s="1"/>
  <c r="J39" i="15"/>
  <c r="AJ52" i="18" s="1"/>
  <c r="J37" i="15"/>
  <c r="AJ64" i="18" s="1"/>
  <c r="J15" i="15"/>
  <c r="AJ13" i="18" s="1"/>
  <c r="J22" i="15"/>
  <c r="AJ33" i="18" s="1"/>
  <c r="J21" i="15"/>
  <c r="AJ32" i="18" s="1"/>
  <c r="J47" i="15"/>
  <c r="AJ31" i="18" s="1"/>
  <c r="J28" i="15"/>
  <c r="AJ30" i="18" s="1"/>
  <c r="J33" i="15"/>
  <c r="AJ29" i="18" s="1"/>
  <c r="J63" i="15"/>
  <c r="AJ28" i="18" s="1"/>
  <c r="J62" i="15"/>
  <c r="AJ27" i="18" s="1"/>
  <c r="J57" i="15"/>
  <c r="AJ26" i="18" s="1"/>
  <c r="J48" i="15"/>
  <c r="AJ25" i="18" s="1"/>
  <c r="J40" i="15"/>
  <c r="AJ23" i="18" s="1"/>
  <c r="J65" i="15"/>
  <c r="AJ22" i="18" s="1"/>
  <c r="J41" i="15"/>
  <c r="AJ21" i="18" s="1"/>
  <c r="J3" i="15"/>
  <c r="AJ19" i="18" s="1"/>
  <c r="J52" i="15"/>
  <c r="AJ18" i="18" s="1"/>
  <c r="J55" i="15"/>
  <c r="AJ17" i="18" s="1"/>
  <c r="J38" i="15"/>
  <c r="AJ15" i="18" s="1"/>
  <c r="J34" i="15"/>
  <c r="AJ14" i="18" s="1"/>
  <c r="J14" i="15"/>
  <c r="AJ12" i="18" s="1"/>
  <c r="J51" i="15"/>
  <c r="AJ11" i="18" s="1"/>
  <c r="J16" i="15"/>
  <c r="J20" i="15"/>
  <c r="AJ9" i="18" s="1"/>
  <c r="J18" i="15"/>
  <c r="AJ8" i="18" s="1"/>
  <c r="J12" i="15"/>
  <c r="AJ6" i="18" s="1"/>
  <c r="J26" i="15"/>
  <c r="J32" i="15"/>
  <c r="AJ5" i="18" s="1"/>
  <c r="J44" i="15"/>
  <c r="AJ4" i="18" s="1"/>
  <c r="J66" i="15"/>
  <c r="AJ3" i="18" s="1"/>
  <c r="J19" i="15"/>
  <c r="AJ2" i="18" s="1"/>
  <c r="AI58" i="18"/>
  <c r="J50" i="14"/>
  <c r="J62" i="14"/>
  <c r="AI57" i="18" s="1"/>
  <c r="J59" i="14"/>
  <c r="AI55" i="18" s="1"/>
  <c r="J61" i="14"/>
  <c r="AI53" i="18" s="1"/>
  <c r="J54" i="14"/>
  <c r="AI51" i="18" s="1"/>
  <c r="J56" i="14"/>
  <c r="AI49" i="18" s="1"/>
  <c r="J3" i="14"/>
  <c r="AI48" i="18" s="1"/>
  <c r="J7" i="14"/>
  <c r="AI47" i="18" s="1"/>
  <c r="AI46" i="18"/>
  <c r="AI45" i="18"/>
  <c r="AI61" i="18"/>
  <c r="J55" i="14"/>
  <c r="AI42" i="18" s="1"/>
  <c r="J53" i="14"/>
  <c r="AI41" i="18" s="1"/>
  <c r="AI39" i="18"/>
  <c r="J41" i="14"/>
  <c r="AI64" i="18" s="1"/>
  <c r="AI38" i="18"/>
  <c r="AI37" i="18"/>
  <c r="J32" i="14"/>
  <c r="AI35" i="18" s="1"/>
  <c r="AI34" i="18"/>
  <c r="J30" i="14"/>
  <c r="AI33" i="18"/>
  <c r="AI32" i="18"/>
  <c r="J51" i="14"/>
  <c r="AI31" i="18" s="1"/>
  <c r="J31" i="14"/>
  <c r="AI30" i="18" s="1"/>
  <c r="J37" i="14"/>
  <c r="AI29" i="18" s="1"/>
  <c r="J63" i="14"/>
  <c r="AI28" i="18" s="1"/>
  <c r="J4" i="14"/>
  <c r="AI27" i="18" s="1"/>
  <c r="J58" i="14"/>
  <c r="AI26" i="18" s="1"/>
  <c r="J52" i="14"/>
  <c r="AI25" i="18" s="1"/>
  <c r="J44" i="14"/>
  <c r="AI23" i="18" s="1"/>
  <c r="J65" i="14"/>
  <c r="AI22" i="18" s="1"/>
  <c r="J45" i="14"/>
  <c r="AI21" i="18" s="1"/>
  <c r="J6" i="14"/>
  <c r="AI19" i="18" s="1"/>
  <c r="J2" i="14"/>
  <c r="AI18" i="18" s="1"/>
  <c r="J57" i="14"/>
  <c r="AI17" i="18" s="1"/>
  <c r="J42" i="14"/>
  <c r="AI15" i="18" s="1"/>
  <c r="J38" i="14"/>
  <c r="AI14" i="18" s="1"/>
  <c r="AI12" i="18"/>
  <c r="J5" i="14"/>
  <c r="AI11" i="18" s="1"/>
  <c r="J64" i="14"/>
  <c r="J23" i="14"/>
  <c r="AI9" i="18" s="1"/>
  <c r="J21" i="14"/>
  <c r="AI8" i="18" s="1"/>
  <c r="AI6" i="18"/>
  <c r="J36" i="14"/>
  <c r="AI5" i="18" s="1"/>
  <c r="J48" i="14"/>
  <c r="AI4" i="18" s="1"/>
  <c r="J66" i="14"/>
  <c r="AI3" i="18" s="1"/>
  <c r="J22" i="14"/>
  <c r="AI2" i="18" s="1"/>
  <c r="J26" i="12"/>
  <c r="AG58" i="18" s="1"/>
  <c r="J47" i="12"/>
  <c r="J2" i="12"/>
  <c r="AG57" i="18" s="1"/>
  <c r="J59" i="12"/>
  <c r="AG55" i="18" s="1"/>
  <c r="J61" i="12"/>
  <c r="AG53" i="18" s="1"/>
  <c r="J32" i="12"/>
  <c r="AG63" i="18" s="1"/>
  <c r="J51" i="12"/>
  <c r="AG51" i="18" s="1"/>
  <c r="J55" i="12"/>
  <c r="AG49" i="18" s="1"/>
  <c r="J57" i="12"/>
  <c r="AG48" i="18" s="1"/>
  <c r="J5" i="12"/>
  <c r="AG47" i="18" s="1"/>
  <c r="J8" i="12"/>
  <c r="AG46" i="18" s="1"/>
  <c r="J14" i="12"/>
  <c r="AG45" i="18" s="1"/>
  <c r="J54" i="12"/>
  <c r="AG42" i="18" s="1"/>
  <c r="J50" i="12"/>
  <c r="AG41" i="18" s="1"/>
  <c r="J25" i="12"/>
  <c r="AG39" i="18" s="1"/>
  <c r="J38" i="12"/>
  <c r="AG64" i="18" s="1"/>
  <c r="J11" i="12"/>
  <c r="AG38" i="18" s="1"/>
  <c r="J10" i="12"/>
  <c r="AG37" i="18" s="1"/>
  <c r="J30" i="12"/>
  <c r="AG35" i="18" s="1"/>
  <c r="J9" i="12"/>
  <c r="AG34" i="18" s="1"/>
  <c r="J37" i="12"/>
  <c r="AG62" i="18" s="1"/>
  <c r="J64" i="12"/>
  <c r="J16" i="12"/>
  <c r="AG13" i="18" s="1"/>
  <c r="J23" i="12"/>
  <c r="AG33" i="18" s="1"/>
  <c r="J22" i="12"/>
  <c r="AG32" i="18" s="1"/>
  <c r="J48" i="12"/>
  <c r="AG31" i="18" s="1"/>
  <c r="J29" i="12"/>
  <c r="AG30" i="18" s="1"/>
  <c r="J35" i="12"/>
  <c r="AG29" i="18" s="1"/>
  <c r="J63" i="12"/>
  <c r="AG28" i="18" s="1"/>
  <c r="J62" i="12"/>
  <c r="AG27" i="18" s="1"/>
  <c r="J58" i="12"/>
  <c r="AG26" i="18" s="1"/>
  <c r="J49" i="12"/>
  <c r="AG25" i="18" s="1"/>
  <c r="J41" i="12"/>
  <c r="AG23" i="18" s="1"/>
  <c r="J65" i="12"/>
  <c r="AG22" i="18" s="1"/>
  <c r="J42" i="12"/>
  <c r="AG21" i="18" s="1"/>
  <c r="J3" i="12"/>
  <c r="AG19" i="18" s="1"/>
  <c r="J53" i="12"/>
  <c r="AG18" i="18" s="1"/>
  <c r="J17" i="12"/>
  <c r="J56" i="12"/>
  <c r="AG17" i="18" s="1"/>
  <c r="J28" i="12"/>
  <c r="J39" i="12"/>
  <c r="AG15" i="18" s="1"/>
  <c r="J36" i="12"/>
  <c r="AG14" i="18" s="1"/>
  <c r="J15" i="12"/>
  <c r="AG12" i="18" s="1"/>
  <c r="J52" i="12"/>
  <c r="AG11" i="18" s="1"/>
  <c r="J21" i="12"/>
  <c r="AG9" i="18" s="1"/>
  <c r="J19" i="12"/>
  <c r="AG8" i="18" s="1"/>
  <c r="J13" i="12"/>
  <c r="AG6" i="18" s="1"/>
  <c r="J34" i="12"/>
  <c r="AG5" i="18" s="1"/>
  <c r="J45" i="12"/>
  <c r="AG4" i="18" s="1"/>
  <c r="J66" i="12"/>
  <c r="AG3" i="18" s="1"/>
  <c r="J20" i="12"/>
  <c r="AG2" i="18" s="1"/>
  <c r="J22" i="13"/>
  <c r="J29" i="13"/>
  <c r="AH58" i="18" s="1"/>
  <c r="J64" i="13"/>
  <c r="J61" i="13"/>
  <c r="AH57" i="18" s="1"/>
  <c r="J23" i="13"/>
  <c r="AH61" i="18" s="1"/>
  <c r="J59" i="13"/>
  <c r="AH55" i="18" s="1"/>
  <c r="J2" i="13"/>
  <c r="AH53" i="18" s="1"/>
  <c r="J34" i="13"/>
  <c r="AH63" i="18" s="1"/>
  <c r="J51" i="13"/>
  <c r="AH51" i="18" s="1"/>
  <c r="J55" i="13"/>
  <c r="AH49" i="18" s="1"/>
  <c r="J57" i="13"/>
  <c r="AH48" i="18" s="1"/>
  <c r="J10" i="13"/>
  <c r="AH47" i="18" s="1"/>
  <c r="J13" i="13"/>
  <c r="AH46" i="18" s="1"/>
  <c r="J19" i="13"/>
  <c r="AH45" i="18" s="1"/>
  <c r="J54" i="13"/>
  <c r="AH42" i="18" s="1"/>
  <c r="J5" i="13"/>
  <c r="AH41" i="18" s="1"/>
  <c r="J28" i="13"/>
  <c r="AH39" i="18" s="1"/>
  <c r="J16" i="13"/>
  <c r="AH38" i="18" s="1"/>
  <c r="J48" i="13"/>
  <c r="J15" i="13"/>
  <c r="AH37" i="18" s="1"/>
  <c r="J6" i="13"/>
  <c r="AH35" i="18" s="1"/>
  <c r="J14" i="13"/>
  <c r="AH34" i="18" s="1"/>
  <c r="J39" i="13"/>
  <c r="AH64" i="18" s="1"/>
  <c r="J38" i="13"/>
  <c r="AH62" i="18" s="1"/>
  <c r="J26" i="13"/>
  <c r="AH33" i="18" s="1"/>
  <c r="J3" i="13"/>
  <c r="AH32" i="18" s="1"/>
  <c r="J49" i="13"/>
  <c r="AH31" i="18" s="1"/>
  <c r="J32" i="13"/>
  <c r="AH30" i="18" s="1"/>
  <c r="J7" i="13"/>
  <c r="AH29" i="18" s="1"/>
  <c r="J63" i="13"/>
  <c r="AH28" i="18" s="1"/>
  <c r="J62" i="13"/>
  <c r="AH27" i="18" s="1"/>
  <c r="J58" i="13"/>
  <c r="AH26" i="18" s="1"/>
  <c r="J50" i="13"/>
  <c r="AH25" i="18" s="1"/>
  <c r="J42" i="13"/>
  <c r="AH23" i="18" s="1"/>
  <c r="J65" i="13"/>
  <c r="AH22" i="18" s="1"/>
  <c r="J43" i="13"/>
  <c r="AH21" i="18" s="1"/>
  <c r="J9" i="13"/>
  <c r="AH19" i="18" s="1"/>
  <c r="J53" i="13"/>
  <c r="AH18" i="18" s="1"/>
  <c r="J31" i="13"/>
  <c r="J56" i="13"/>
  <c r="AH17" i="18" s="1"/>
  <c r="J40" i="13"/>
  <c r="AH15" i="18" s="1"/>
  <c r="J36" i="13"/>
  <c r="AH14" i="18" s="1"/>
  <c r="J20" i="13"/>
  <c r="AH12" i="18" s="1"/>
  <c r="J52" i="13"/>
  <c r="AH11" i="18" s="1"/>
  <c r="J21" i="13"/>
  <c r="AH13" i="18" s="1"/>
  <c r="J4" i="13"/>
  <c r="AH9" i="18" s="1"/>
  <c r="J24" i="13"/>
  <c r="AH8" i="18" s="1"/>
  <c r="J18" i="13"/>
  <c r="AH6" i="18" s="1"/>
  <c r="J35" i="13"/>
  <c r="AH5" i="18" s="1"/>
  <c r="J46" i="13"/>
  <c r="AH4" i="18" s="1"/>
  <c r="J66" i="13"/>
  <c r="AH3" i="18" s="1"/>
  <c r="J25" i="13"/>
  <c r="AH2" i="18" s="1"/>
  <c r="J4" i="11"/>
  <c r="J42" i="11"/>
  <c r="AE24" i="18" s="1"/>
  <c r="J24" i="11"/>
  <c r="AE58" i="18" s="1"/>
  <c r="J34" i="11"/>
  <c r="AE14" i="18" s="1"/>
  <c r="J35" i="11"/>
  <c r="AE50" i="18" s="1"/>
  <c r="J3" i="11"/>
  <c r="AE47" i="18" s="1"/>
  <c r="J61" i="11"/>
  <c r="AE57" i="18" s="1"/>
  <c r="J20" i="11"/>
  <c r="AE32" i="18" s="1"/>
  <c r="J58" i="11"/>
  <c r="AE55" i="18" s="1"/>
  <c r="J60" i="11"/>
  <c r="AE53" i="18" s="1"/>
  <c r="J50" i="11"/>
  <c r="AE51" i="18" s="1"/>
  <c r="J54" i="11"/>
  <c r="AE49" i="18" s="1"/>
  <c r="J56" i="11"/>
  <c r="AE48" i="18" s="1"/>
  <c r="J27" i="11"/>
  <c r="AE30" i="18" s="1"/>
  <c r="J21" i="11"/>
  <c r="AE33" i="18" s="1"/>
  <c r="J11" i="11"/>
  <c r="AE6" i="18" s="1"/>
  <c r="J32" i="11"/>
  <c r="AE5" i="18" s="1"/>
  <c r="J17" i="11"/>
  <c r="AE8" i="18" s="1"/>
  <c r="J31" i="11"/>
  <c r="J2" i="11"/>
  <c r="AE19" i="18" s="1"/>
  <c r="J15" i="11"/>
  <c r="J30" i="11"/>
  <c r="AE63" i="18" s="1"/>
  <c r="J45" i="11"/>
  <c r="AE60" i="18" s="1"/>
  <c r="J29" i="11"/>
  <c r="AE44" i="18" s="1"/>
  <c r="J26" i="11"/>
  <c r="J40" i="11"/>
  <c r="AE23" i="18" s="1"/>
  <c r="J39" i="11"/>
  <c r="AE52" i="18" s="1"/>
  <c r="J68" i="11"/>
  <c r="AE3" i="18" s="1"/>
  <c r="J44" i="11"/>
  <c r="AE4" i="18" s="1"/>
  <c r="J65" i="11"/>
  <c r="J63" i="11"/>
  <c r="J57" i="11"/>
  <c r="AE26" i="18" s="1"/>
  <c r="J48" i="11"/>
  <c r="AE25" i="18" s="1"/>
  <c r="J9" i="11"/>
  <c r="AE38" i="18" s="1"/>
  <c r="J67" i="11"/>
  <c r="AE22" i="18" s="1"/>
  <c r="J7" i="11"/>
  <c r="AE34" i="18" s="1"/>
  <c r="J52" i="11"/>
  <c r="AE18" i="18" s="1"/>
  <c r="J19" i="11"/>
  <c r="AE9" i="18" s="1"/>
  <c r="J6" i="11"/>
  <c r="AE46" i="18" s="1"/>
  <c r="J55" i="11"/>
  <c r="AE17" i="18" s="1"/>
  <c r="J23" i="11"/>
  <c r="AE39" i="18" s="1"/>
  <c r="J12" i="11"/>
  <c r="AE45" i="18" s="1"/>
  <c r="J43" i="11"/>
  <c r="AE56" i="18" s="1"/>
  <c r="J51" i="11"/>
  <c r="AE11" i="18" s="1"/>
  <c r="J18" i="11"/>
  <c r="AE2" i="18" s="1"/>
  <c r="J10" i="11"/>
  <c r="AE54" i="18" s="1"/>
  <c r="J64" i="11"/>
  <c r="AE28" i="18" s="1"/>
  <c r="J38" i="11"/>
  <c r="AE15" i="18" s="1"/>
  <c r="J37" i="11"/>
  <c r="AE64" i="18" s="1"/>
  <c r="J53" i="11"/>
  <c r="AE42" i="18" s="1"/>
  <c r="J62" i="11"/>
  <c r="AE27" i="18" s="1"/>
  <c r="J46" i="11"/>
  <c r="J10" i="10"/>
  <c r="J30" i="10"/>
  <c r="AF58" i="18" s="1"/>
  <c r="J21" i="10"/>
  <c r="J49" i="10"/>
  <c r="J62" i="10"/>
  <c r="AF57" i="18" s="1"/>
  <c r="J59" i="10"/>
  <c r="AF55" i="18" s="1"/>
  <c r="J61" i="10"/>
  <c r="AF53" i="18" s="1"/>
  <c r="J53" i="10"/>
  <c r="AF51" i="18" s="1"/>
  <c r="J56" i="10"/>
  <c r="AF49" i="18" s="1"/>
  <c r="J7" i="10"/>
  <c r="AF48" i="18" s="1"/>
  <c r="J9" i="10"/>
  <c r="AF47" i="18" s="1"/>
  <c r="J12" i="10"/>
  <c r="AF46" i="18" s="1"/>
  <c r="J18" i="10"/>
  <c r="AF45" i="18" s="1"/>
  <c r="J55" i="10"/>
  <c r="AF42" i="18" s="1"/>
  <c r="J52" i="10"/>
  <c r="AF41" i="18" s="1"/>
  <c r="J29" i="10"/>
  <c r="AF39" i="18" s="1"/>
  <c r="J42" i="10"/>
  <c r="AF64" i="18" s="1"/>
  <c r="J15" i="10"/>
  <c r="AF38" i="18" s="1"/>
  <c r="J31" i="10"/>
  <c r="J14" i="10"/>
  <c r="AF37" i="18" s="1"/>
  <c r="J6" i="10"/>
  <c r="AF35" i="18" s="1"/>
  <c r="J13" i="10"/>
  <c r="AF34" i="18" s="1"/>
  <c r="J28" i="10"/>
  <c r="J36" i="10"/>
  <c r="J20" i="10"/>
  <c r="AF13" i="18" s="1"/>
  <c r="J27" i="10"/>
  <c r="AF33" i="18" s="1"/>
  <c r="J26" i="10"/>
  <c r="AF32" i="18" s="1"/>
  <c r="J50" i="10"/>
  <c r="AF31" i="18" s="1"/>
  <c r="J33" i="10"/>
  <c r="AF30" i="18" s="1"/>
  <c r="J38" i="10"/>
  <c r="AF29" i="18" s="1"/>
  <c r="J64" i="10"/>
  <c r="AF28" i="18" s="1"/>
  <c r="J63" i="10"/>
  <c r="AF27" i="18" s="1"/>
  <c r="J58" i="10"/>
  <c r="AF26" i="18" s="1"/>
  <c r="J51" i="10"/>
  <c r="AF25" i="18" s="1"/>
  <c r="J44" i="10"/>
  <c r="AF23" i="18" s="1"/>
  <c r="J4" i="10"/>
  <c r="AF22" i="18" s="1"/>
  <c r="J45" i="10"/>
  <c r="AF21" i="18" s="1"/>
  <c r="J8" i="10"/>
  <c r="AF19" i="18" s="1"/>
  <c r="J54" i="10"/>
  <c r="AF18" i="18" s="1"/>
  <c r="J57" i="10"/>
  <c r="AF17" i="18" s="1"/>
  <c r="J3" i="10"/>
  <c r="AF15" i="18" s="1"/>
  <c r="J39" i="10"/>
  <c r="AF14" i="18" s="1"/>
  <c r="J19" i="10"/>
  <c r="AF12" i="18" s="1"/>
  <c r="J5" i="10"/>
  <c r="AF11" i="18" s="1"/>
  <c r="J32" i="10"/>
  <c r="J25" i="10"/>
  <c r="AF9" i="18" s="1"/>
  <c r="J23" i="10"/>
  <c r="AF8" i="18" s="1"/>
  <c r="J17" i="10"/>
  <c r="AF6" i="18" s="1"/>
  <c r="J37" i="10"/>
  <c r="AF5" i="18" s="1"/>
  <c r="J47" i="10"/>
  <c r="AF4" i="18" s="1"/>
  <c r="J66" i="10"/>
  <c r="AF3" i="18" s="1"/>
  <c r="J24" i="10"/>
  <c r="AF2" i="18" s="1"/>
  <c r="J32" i="8"/>
  <c r="AC58" i="18" s="1"/>
  <c r="J61" i="8"/>
  <c r="AC57" i="18" s="1"/>
  <c r="J23" i="8"/>
  <c r="J58" i="8"/>
  <c r="AC55" i="18" s="1"/>
  <c r="J60" i="8"/>
  <c r="AC53" i="18" s="1"/>
  <c r="J38" i="8"/>
  <c r="AC63" i="18" s="1"/>
  <c r="J10" i="8"/>
  <c r="AC51" i="18" s="1"/>
  <c r="J54" i="8"/>
  <c r="AC49" i="18" s="1"/>
  <c r="J56" i="8"/>
  <c r="AC48" i="18" s="1"/>
  <c r="J14" i="8"/>
  <c r="AC47" i="18" s="1"/>
  <c r="J16" i="8"/>
  <c r="AC46" i="18" s="1"/>
  <c r="J20" i="8"/>
  <c r="AC45" i="18" s="1"/>
  <c r="J53" i="8"/>
  <c r="AC42" i="18" s="1"/>
  <c r="J50" i="8"/>
  <c r="AC41" i="18" s="1"/>
  <c r="J31" i="8"/>
  <c r="AC39" i="18" s="1"/>
  <c r="J18" i="8"/>
  <c r="AC38" i="18" s="1"/>
  <c r="J9" i="8"/>
  <c r="AC37" i="18" s="1"/>
  <c r="J36" i="8"/>
  <c r="AC35" i="18" s="1"/>
  <c r="J17" i="8"/>
  <c r="AC34" i="18" s="1"/>
  <c r="J39" i="8"/>
  <c r="J15" i="8"/>
  <c r="J29" i="8"/>
  <c r="AC33" i="18" s="1"/>
  <c r="J28" i="8"/>
  <c r="AC32" i="18" s="1"/>
  <c r="J30" i="8"/>
  <c r="J48" i="8"/>
  <c r="AC31" i="18" s="1"/>
  <c r="J35" i="8"/>
  <c r="AC30" i="18" s="1"/>
  <c r="J3" i="8"/>
  <c r="AC29" i="18" s="1"/>
  <c r="J63" i="8"/>
  <c r="AC28" i="18" s="1"/>
  <c r="J62" i="8"/>
  <c r="AC27" i="18" s="1"/>
  <c r="J57" i="8"/>
  <c r="AC26" i="18" s="1"/>
  <c r="J49" i="8"/>
  <c r="AC25" i="18" s="1"/>
  <c r="J45" i="8"/>
  <c r="AC23" i="18" s="1"/>
  <c r="J65" i="8"/>
  <c r="AC22" i="18" s="1"/>
  <c r="J46" i="8"/>
  <c r="AC21" i="18" s="1"/>
  <c r="J13" i="8"/>
  <c r="AC19" i="18" s="1"/>
  <c r="J52" i="8"/>
  <c r="AC18" i="18" s="1"/>
  <c r="J55" i="8"/>
  <c r="AC17" i="18" s="1"/>
  <c r="J4" i="8"/>
  <c r="AC15" i="18" s="1"/>
  <c r="J41" i="8"/>
  <c r="AC14" i="18" s="1"/>
  <c r="J21" i="8"/>
  <c r="AC12" i="18" s="1"/>
  <c r="J51" i="8"/>
  <c r="AC11" i="18" s="1"/>
  <c r="J22" i="8"/>
  <c r="AC13" i="18" s="1"/>
  <c r="J33" i="8"/>
  <c r="J27" i="8"/>
  <c r="AC9" i="18" s="1"/>
  <c r="J25" i="8"/>
  <c r="AC8" i="18" s="1"/>
  <c r="J19" i="8"/>
  <c r="AC6" i="18" s="1"/>
  <c r="J40" i="8"/>
  <c r="AC5" i="18" s="1"/>
  <c r="J7" i="8"/>
  <c r="AC4" i="18" s="1"/>
  <c r="J26" i="8"/>
  <c r="AC2" i="18" s="1"/>
  <c r="J27" i="6"/>
  <c r="Z58" i="18" s="1"/>
  <c r="J62" i="6"/>
  <c r="Z57" i="18" s="1"/>
  <c r="J59" i="6"/>
  <c r="Z55" i="18" s="1"/>
  <c r="J61" i="6"/>
  <c r="Z53" i="18" s="1"/>
  <c r="J33" i="6"/>
  <c r="Z63" i="18" s="1"/>
  <c r="J52" i="6"/>
  <c r="Z51" i="18" s="1"/>
  <c r="J56" i="6"/>
  <c r="Z49" i="18" s="1"/>
  <c r="J57" i="6"/>
  <c r="Z48" i="18" s="1"/>
  <c r="J6" i="6"/>
  <c r="Z47" i="18" s="1"/>
  <c r="J9" i="6"/>
  <c r="Z46" i="18" s="1"/>
  <c r="J15" i="6"/>
  <c r="Z45" i="18" s="1"/>
  <c r="J55" i="6"/>
  <c r="Z42" i="18" s="1"/>
  <c r="J51" i="6"/>
  <c r="Z41" i="18" s="1"/>
  <c r="J26" i="6"/>
  <c r="Z39" i="18" s="1"/>
  <c r="J12" i="6"/>
  <c r="Z38" i="18" s="1"/>
  <c r="J11" i="6"/>
  <c r="Z37" i="18" s="1"/>
  <c r="J31" i="6"/>
  <c r="Z35" i="18" s="1"/>
  <c r="J10" i="6"/>
  <c r="Z34" i="18" s="1"/>
  <c r="J39" i="6"/>
  <c r="Z64" i="18" s="1"/>
  <c r="J24" i="6"/>
  <c r="Z33" i="18" s="1"/>
  <c r="J23" i="6"/>
  <c r="Z32" i="18" s="1"/>
  <c r="J49" i="6"/>
  <c r="Z31" i="18" s="1"/>
  <c r="J30" i="6"/>
  <c r="Z30" i="18" s="1"/>
  <c r="J2" i="6"/>
  <c r="Z29" i="18" s="1"/>
  <c r="J64" i="6"/>
  <c r="Z28" i="18" s="1"/>
  <c r="J63" i="6"/>
  <c r="Z27" i="18" s="1"/>
  <c r="J58" i="6"/>
  <c r="Z26" i="18" s="1"/>
  <c r="J50" i="6"/>
  <c r="Z25" i="18" s="1"/>
  <c r="J42" i="6"/>
  <c r="Z23" i="18" s="1"/>
  <c r="J66" i="6"/>
  <c r="Z22" i="18" s="1"/>
  <c r="J43" i="6"/>
  <c r="Z21" i="18" s="1"/>
  <c r="J5" i="6"/>
  <c r="Z19" i="18" s="1"/>
  <c r="J54" i="6"/>
  <c r="Z18" i="18" s="1"/>
  <c r="J3" i="6"/>
  <c r="Z17" i="18" s="1"/>
  <c r="J40" i="6"/>
  <c r="Z15" i="18" s="1"/>
  <c r="J36" i="6"/>
  <c r="Z14" i="18" s="1"/>
  <c r="J16" i="6"/>
  <c r="Z12" i="18" s="1"/>
  <c r="J53" i="6"/>
  <c r="Z11" i="18" s="1"/>
  <c r="J28" i="6"/>
  <c r="J22" i="6"/>
  <c r="Z9" i="18" s="1"/>
  <c r="J20" i="6"/>
  <c r="Z8" i="18" s="1"/>
  <c r="J14" i="6"/>
  <c r="Z6" i="18" s="1"/>
  <c r="J25" i="6"/>
  <c r="J35" i="6"/>
  <c r="Z5" i="18" s="1"/>
  <c r="J46" i="6"/>
  <c r="Z4" i="18" s="1"/>
  <c r="J4" i="6"/>
  <c r="Z3" i="18" s="1"/>
  <c r="J21" i="6"/>
  <c r="Z2" i="18" s="1"/>
  <c r="J33" i="5"/>
  <c r="Y58" i="18" s="1"/>
  <c r="J31" i="5"/>
  <c r="J61" i="5"/>
  <c r="Y57" i="18" s="1"/>
  <c r="J36" i="5"/>
  <c r="Y63" i="18" s="1"/>
  <c r="J58" i="5"/>
  <c r="Y55" i="18" s="1"/>
  <c r="J60" i="5"/>
  <c r="Y53" i="18" s="1"/>
  <c r="J51" i="5"/>
  <c r="Y51" i="18" s="1"/>
  <c r="J54" i="5"/>
  <c r="Y49" i="18" s="1"/>
  <c r="J56" i="5"/>
  <c r="Y48" i="18" s="1"/>
  <c r="J15" i="5"/>
  <c r="Y47" i="18" s="1"/>
  <c r="J18" i="5"/>
  <c r="Y46" i="18" s="1"/>
  <c r="J4" i="5"/>
  <c r="J23" i="5"/>
  <c r="Y45" i="18" s="1"/>
  <c r="J53" i="5"/>
  <c r="Y42" i="18" s="1"/>
  <c r="J9" i="5"/>
  <c r="Y41" i="18" s="1"/>
  <c r="J32" i="5"/>
  <c r="Y39" i="18" s="1"/>
  <c r="J21" i="5"/>
  <c r="Y38" i="18" s="1"/>
  <c r="J20" i="5"/>
  <c r="Y37" i="18" s="1"/>
  <c r="J8" i="5"/>
  <c r="Y35" i="18" s="1"/>
  <c r="J19" i="5"/>
  <c r="Y34" i="18" s="1"/>
  <c r="J25" i="5"/>
  <c r="Y13" i="18" s="1"/>
  <c r="J30" i="5"/>
  <c r="Y33" i="18" s="1"/>
  <c r="J29" i="5"/>
  <c r="Y32" i="18" s="1"/>
  <c r="J49" i="5"/>
  <c r="Y31" i="18" s="1"/>
  <c r="J34" i="5"/>
  <c r="Y30" i="18" s="1"/>
  <c r="J38" i="5"/>
  <c r="Y29" i="18" s="1"/>
  <c r="J63" i="5"/>
  <c r="Y28" i="18" s="1"/>
  <c r="J62" i="5"/>
  <c r="Y27" i="18" s="1"/>
  <c r="J57" i="5"/>
  <c r="Y26" i="18" s="1"/>
  <c r="J50" i="5"/>
  <c r="Y25" i="18" s="1"/>
  <c r="J42" i="5"/>
  <c r="Y23" i="18" s="1"/>
  <c r="J65" i="5"/>
  <c r="Y22" i="18" s="1"/>
  <c r="J43" i="5"/>
  <c r="Y21" i="18" s="1"/>
  <c r="J14" i="5"/>
  <c r="Y19" i="18" s="1"/>
  <c r="J52" i="5"/>
  <c r="Y18" i="18" s="1"/>
  <c r="J13" i="5"/>
  <c r="J6" i="5"/>
  <c r="Y64" i="18" s="1"/>
  <c r="J55" i="5"/>
  <c r="Y17" i="18" s="1"/>
  <c r="J40" i="5"/>
  <c r="Y15" i="18" s="1"/>
  <c r="J39" i="5"/>
  <c r="Y14" i="18" s="1"/>
  <c r="J24" i="5"/>
  <c r="Y12" i="18" s="1"/>
  <c r="J3" i="5"/>
  <c r="Y11" i="18" s="1"/>
  <c r="J5" i="5"/>
  <c r="Y9" i="18" s="1"/>
  <c r="J27" i="5"/>
  <c r="Y8" i="18" s="1"/>
  <c r="J22" i="5"/>
  <c r="Y6" i="18" s="1"/>
  <c r="J12" i="5"/>
  <c r="Y62" i="18" s="1"/>
  <c r="J37" i="5"/>
  <c r="Y5" i="18" s="1"/>
  <c r="J46" i="5"/>
  <c r="Y4" i="18" s="1"/>
  <c r="J66" i="5"/>
  <c r="Y3" i="18" s="1"/>
  <c r="J28" i="5"/>
  <c r="Y2" i="18" s="1"/>
  <c r="J35" i="4"/>
  <c r="J29" i="4"/>
  <c r="X58" i="18" s="1"/>
  <c r="J63" i="4"/>
  <c r="X57" i="18" s="1"/>
  <c r="J20" i="4"/>
  <c r="X13" i="18" s="1"/>
  <c r="J60" i="4"/>
  <c r="X55" i="18" s="1"/>
  <c r="J62" i="4"/>
  <c r="X53" i="18" s="1"/>
  <c r="J53" i="4"/>
  <c r="X51" i="18" s="1"/>
  <c r="J56" i="4"/>
  <c r="X49" i="18" s="1"/>
  <c r="J58" i="4"/>
  <c r="X48" i="18" s="1"/>
  <c r="J11" i="4"/>
  <c r="X47" i="18" s="1"/>
  <c r="J9" i="4"/>
  <c r="X46" i="18" s="1"/>
  <c r="J18" i="4"/>
  <c r="X45" i="18" s="1"/>
  <c r="J3" i="4"/>
  <c r="X42" i="18" s="1"/>
  <c r="J52" i="4"/>
  <c r="X41" i="18" s="1"/>
  <c r="J28" i="4"/>
  <c r="X39" i="18" s="1"/>
  <c r="J15" i="4"/>
  <c r="X38" i="18" s="1"/>
  <c r="J13" i="4"/>
  <c r="X37" i="18" s="1"/>
  <c r="J32" i="4"/>
  <c r="X35" i="18" s="1"/>
  <c r="J14" i="4"/>
  <c r="X34" i="18" s="1"/>
  <c r="J22" i="4"/>
  <c r="X61" i="18" s="1"/>
  <c r="J31" i="4"/>
  <c r="J25" i="4"/>
  <c r="X33" i="18" s="1"/>
  <c r="J26" i="4"/>
  <c r="X32" i="18" s="1"/>
  <c r="J66" i="4"/>
  <c r="J50" i="4"/>
  <c r="X31" i="18" s="1"/>
  <c r="J33" i="4"/>
  <c r="X30" i="18" s="1"/>
  <c r="J2" i="4"/>
  <c r="X29" i="18" s="1"/>
  <c r="J64" i="4"/>
  <c r="X28" i="18" s="1"/>
  <c r="J65" i="4"/>
  <c r="X27" i="18" s="1"/>
  <c r="J59" i="4"/>
  <c r="X26" i="18" s="1"/>
  <c r="J51" i="4"/>
  <c r="X25" i="18" s="1"/>
  <c r="J43" i="4"/>
  <c r="X23" i="18" s="1"/>
  <c r="J4" i="4"/>
  <c r="X22" i="18" s="1"/>
  <c r="J44" i="4"/>
  <c r="X21" i="18" s="1"/>
  <c r="J10" i="4"/>
  <c r="X19" i="18" s="1"/>
  <c r="J55" i="4"/>
  <c r="X18" i="18" s="1"/>
  <c r="J57" i="4"/>
  <c r="X17" i="18" s="1"/>
  <c r="J41" i="4"/>
  <c r="X15" i="18" s="1"/>
  <c r="J38" i="4"/>
  <c r="X14" i="18" s="1"/>
  <c r="J5" i="4"/>
  <c r="J19" i="4"/>
  <c r="X12" i="18" s="1"/>
  <c r="J54" i="4"/>
  <c r="X11" i="18" s="1"/>
  <c r="J27" i="4"/>
  <c r="X9" i="18" s="1"/>
  <c r="J23" i="4"/>
  <c r="X8" i="18" s="1"/>
  <c r="J17" i="4"/>
  <c r="X6" i="18" s="1"/>
  <c r="J36" i="4"/>
  <c r="X5" i="18" s="1"/>
  <c r="J48" i="4"/>
  <c r="X4" i="18" s="1"/>
  <c r="J67" i="4"/>
  <c r="X3" i="18" s="1"/>
  <c r="J24" i="4"/>
  <c r="X2" i="18" s="1"/>
  <c r="J33" i="3"/>
  <c r="J62" i="3"/>
  <c r="J27" i="3"/>
  <c r="J59" i="3"/>
  <c r="J61" i="3"/>
  <c r="J34" i="3"/>
  <c r="J52" i="3"/>
  <c r="J55" i="3"/>
  <c r="J57" i="3"/>
  <c r="J15" i="3"/>
  <c r="J17" i="3"/>
  <c r="J23" i="3"/>
  <c r="J25" i="3"/>
  <c r="J54" i="3"/>
  <c r="J51" i="3"/>
  <c r="J32" i="3"/>
  <c r="J20" i="3"/>
  <c r="J31" i="3"/>
  <c r="J12" i="3"/>
  <c r="J19" i="3"/>
  <c r="J36" i="3"/>
  <c r="J18" i="3"/>
  <c r="J30" i="3"/>
  <c r="J5" i="3"/>
  <c r="J49" i="3"/>
  <c r="J48" i="3"/>
  <c r="J35" i="3"/>
  <c r="J40" i="3"/>
  <c r="J63" i="3"/>
  <c r="J9" i="3"/>
  <c r="J58" i="3"/>
  <c r="J50" i="3"/>
  <c r="J11" i="3"/>
  <c r="J65" i="3"/>
  <c r="J46" i="3"/>
  <c r="J14" i="3"/>
  <c r="J53" i="3"/>
  <c r="J56" i="3"/>
  <c r="J3" i="3"/>
  <c r="J41" i="3"/>
  <c r="J24" i="3"/>
  <c r="J10" i="3"/>
  <c r="J29" i="3"/>
  <c r="J28" i="3"/>
  <c r="J22" i="3"/>
  <c r="J8" i="3"/>
  <c r="J4" i="3"/>
  <c r="J66" i="3"/>
  <c r="J2" i="3"/>
  <c r="J50" i="18" l="1"/>
  <c r="I50" i="18" s="1"/>
  <c r="J56" i="18"/>
  <c r="I56" i="18" s="1"/>
  <c r="J60" i="18"/>
  <c r="I60" i="18" s="1"/>
  <c r="J70" i="18"/>
  <c r="I70" i="18" s="1"/>
  <c r="J59" i="18"/>
  <c r="I59" i="18" s="1"/>
  <c r="J7" i="18"/>
  <c r="I7" i="18" s="1"/>
  <c r="J69" i="18"/>
  <c r="I69" i="18" s="1"/>
  <c r="G36" i="18"/>
  <c r="G39" i="18"/>
  <c r="G34" i="18"/>
  <c r="G4" i="18"/>
  <c r="G70" i="18"/>
  <c r="G50" i="18"/>
  <c r="G25" i="18"/>
  <c r="G61" i="18"/>
  <c r="G33" i="18"/>
  <c r="G28" i="18"/>
  <c r="G17" i="18"/>
  <c r="G11" i="18"/>
  <c r="G55" i="18"/>
  <c r="G5" i="18"/>
  <c r="G21" i="18"/>
  <c r="G51" i="18"/>
  <c r="G57" i="18"/>
  <c r="G42" i="18"/>
  <c r="G37" i="18"/>
  <c r="G65" i="18"/>
  <c r="G52" i="18"/>
  <c r="G60" i="18"/>
  <c r="G38" i="18"/>
  <c r="G53" i="18"/>
  <c r="G12" i="18"/>
  <c r="G22" i="18"/>
  <c r="G48" i="18"/>
  <c r="G46" i="18"/>
  <c r="J66" i="18"/>
  <c r="I66" i="18" s="1"/>
  <c r="G2" i="18"/>
  <c r="J67" i="18"/>
  <c r="I67" i="18" s="1"/>
  <c r="J68" i="18"/>
  <c r="I68" i="18" s="1"/>
  <c r="J65" i="18"/>
  <c r="I65" i="18" s="1"/>
  <c r="J36" i="18"/>
  <c r="I36" i="18" s="1"/>
  <c r="J16" i="18"/>
  <c r="I16" i="18" s="1"/>
  <c r="J63" i="18"/>
  <c r="I63" i="18" s="1"/>
  <c r="Y52" i="18"/>
  <c r="J52" i="18"/>
  <c r="I52" i="18" s="1"/>
  <c r="J46" i="18"/>
  <c r="I46" i="18" s="1"/>
  <c r="W46" i="18"/>
  <c r="J8" i="18"/>
  <c r="I8" i="18" s="1"/>
  <c r="W8" i="18"/>
  <c r="J27" i="18"/>
  <c r="I27" i="18" s="1"/>
  <c r="W27" i="18"/>
  <c r="J33" i="18"/>
  <c r="I33" i="18" s="1"/>
  <c r="W33" i="18"/>
  <c r="J39" i="18"/>
  <c r="I39" i="18" s="1"/>
  <c r="W39" i="18"/>
  <c r="J49" i="18"/>
  <c r="I49" i="18" s="1"/>
  <c r="W49" i="18"/>
  <c r="J57" i="18"/>
  <c r="I57" i="18" s="1"/>
  <c r="W57" i="18"/>
  <c r="J62" i="18"/>
  <c r="I62" i="18" s="1"/>
  <c r="W62" i="18"/>
  <c r="J23" i="18"/>
  <c r="I23" i="18" s="1"/>
  <c r="W23" i="18"/>
  <c r="J17" i="18"/>
  <c r="I17" i="18" s="1"/>
  <c r="W17" i="18"/>
  <c r="J38" i="18"/>
  <c r="I38" i="18" s="1"/>
  <c r="W38" i="18"/>
  <c r="J41" i="18"/>
  <c r="I41" i="18" s="1"/>
  <c r="W41" i="18"/>
  <c r="J44" i="18"/>
  <c r="I44" i="18" s="1"/>
  <c r="W44" i="18"/>
  <c r="J54" i="18"/>
  <c r="I54" i="18" s="1"/>
  <c r="W54" i="18"/>
  <c r="J4" i="18"/>
  <c r="I4" i="18" s="1"/>
  <c r="W4" i="18"/>
  <c r="J31" i="18"/>
  <c r="I31" i="18" s="1"/>
  <c r="W31" i="18"/>
  <c r="J26" i="18"/>
  <c r="I26" i="18" s="1"/>
  <c r="W26" i="18"/>
  <c r="J18" i="18"/>
  <c r="I18" i="18" s="1"/>
  <c r="W18" i="18"/>
  <c r="J58" i="18"/>
  <c r="I58" i="18" s="1"/>
  <c r="W58" i="18"/>
  <c r="J11" i="18"/>
  <c r="I11" i="18" s="1"/>
  <c r="W11" i="18"/>
  <c r="J34" i="18"/>
  <c r="I34" i="18" s="1"/>
  <c r="W34" i="18"/>
  <c r="J2" i="18"/>
  <c r="I2" i="18" s="1"/>
  <c r="W2" i="18"/>
  <c r="J12" i="18"/>
  <c r="I12" i="18" s="1"/>
  <c r="W12" i="18"/>
  <c r="J21" i="18"/>
  <c r="I21" i="18" s="1"/>
  <c r="W21" i="18"/>
  <c r="J30" i="18"/>
  <c r="I30" i="18" s="1"/>
  <c r="W30" i="18"/>
  <c r="J35" i="18"/>
  <c r="I35" i="18" s="1"/>
  <c r="W35" i="18"/>
  <c r="J13" i="18"/>
  <c r="I13" i="18" s="1"/>
  <c r="W13" i="18"/>
  <c r="J53" i="18"/>
  <c r="I53" i="18" s="1"/>
  <c r="W53" i="18"/>
  <c r="J64" i="18"/>
  <c r="I64" i="18" s="1"/>
  <c r="W64" i="18"/>
  <c r="J6" i="18"/>
  <c r="I6" i="18" s="1"/>
  <c r="W6" i="18"/>
  <c r="J48" i="18"/>
  <c r="I48" i="18" s="1"/>
  <c r="W48" i="18"/>
  <c r="J9" i="18"/>
  <c r="I9" i="18" s="1"/>
  <c r="W9" i="18"/>
  <c r="J28" i="18"/>
  <c r="I28" i="18" s="1"/>
  <c r="W28" i="18"/>
  <c r="J51" i="18"/>
  <c r="I51" i="18" s="1"/>
  <c r="W51" i="18"/>
  <c r="J19" i="18"/>
  <c r="I19" i="18" s="1"/>
  <c r="W19" i="18"/>
  <c r="J29" i="18"/>
  <c r="I29" i="18" s="1"/>
  <c r="W29" i="18"/>
  <c r="J42" i="18"/>
  <c r="I42" i="18" s="1"/>
  <c r="W42" i="18"/>
  <c r="J3" i="18"/>
  <c r="I3" i="18" s="1"/>
  <c r="W3" i="18"/>
  <c r="J14" i="18"/>
  <c r="I14" i="18" s="1"/>
  <c r="W14" i="18"/>
  <c r="J22" i="18"/>
  <c r="I22" i="18" s="1"/>
  <c r="W22" i="18"/>
  <c r="J37" i="18"/>
  <c r="I37" i="18" s="1"/>
  <c r="W37" i="18"/>
  <c r="J45" i="18"/>
  <c r="I45" i="18" s="1"/>
  <c r="W45" i="18"/>
  <c r="J55" i="18"/>
  <c r="I55" i="18" s="1"/>
  <c r="W55" i="18"/>
  <c r="J24" i="18"/>
  <c r="I24" i="18" s="1"/>
  <c r="W24" i="18"/>
  <c r="J5" i="18"/>
  <c r="I5" i="18" s="1"/>
  <c r="W5" i="18"/>
  <c r="J15" i="18"/>
  <c r="I15" i="18" s="1"/>
  <c r="W15" i="18"/>
  <c r="J25" i="18"/>
  <c r="I25" i="18" s="1"/>
  <c r="W25" i="18"/>
  <c r="J47" i="18"/>
  <c r="I47" i="18" s="1"/>
  <c r="W47" i="18"/>
  <c r="J61" i="18"/>
  <c r="I61" i="18" s="1"/>
  <c r="W61" i="18"/>
  <c r="J32" i="18"/>
  <c r="I32" i="18" s="1"/>
  <c r="W32" i="18"/>
  <c r="G59" i="8"/>
  <c r="G12" i="8"/>
  <c r="H41" i="5"/>
  <c r="H60" i="5"/>
  <c r="H64" i="5"/>
  <c r="H66" i="5"/>
  <c r="H61" i="5"/>
  <c r="H65" i="5"/>
  <c r="H63" i="5"/>
  <c r="H62" i="5"/>
  <c r="H39" i="5"/>
  <c r="H59" i="5"/>
  <c r="H25" i="5"/>
  <c r="H30" i="5"/>
  <c r="H28" i="5"/>
  <c r="H15" i="5"/>
  <c r="H23" i="5"/>
  <c r="H29" i="5"/>
  <c r="H11" i="5"/>
  <c r="H14" i="5"/>
  <c r="G2" i="10"/>
  <c r="G3" i="9"/>
  <c r="G60" i="10"/>
  <c r="G59" i="9"/>
  <c r="G44" i="12"/>
  <c r="G43" i="11"/>
  <c r="G60" i="12"/>
  <c r="G59" i="11"/>
  <c r="G47" i="14"/>
  <c r="G45" i="13"/>
  <c r="G60" i="14"/>
  <c r="G60" i="13"/>
  <c r="G54" i="7"/>
  <c r="G43" i="15"/>
  <c r="G62" i="7"/>
  <c r="G59" i="15"/>
  <c r="G46" i="4"/>
  <c r="G45" i="5"/>
  <c r="G61" i="4"/>
  <c r="G59" i="5"/>
  <c r="G45" i="16"/>
  <c r="G45" i="6"/>
  <c r="G60" i="16"/>
  <c r="G60" i="6"/>
  <c r="G43" i="17"/>
  <c r="G59" i="17"/>
  <c r="H3" i="16"/>
  <c r="H2" i="17"/>
  <c r="H2" i="4"/>
  <c r="H6" i="3"/>
  <c r="H57" i="3"/>
  <c r="H53" i="5"/>
  <c r="H21" i="5"/>
  <c r="H52" i="3"/>
  <c r="H45" i="5"/>
  <c r="H16" i="3"/>
  <c r="H66" i="3"/>
  <c r="H58" i="5"/>
  <c r="H36" i="3"/>
  <c r="H56" i="3"/>
  <c r="H52" i="5"/>
  <c r="H10" i="3"/>
  <c r="H59" i="3"/>
  <c r="H54" i="5"/>
  <c r="H37" i="3"/>
  <c r="H44" i="5"/>
  <c r="H35" i="5"/>
  <c r="H34" i="5"/>
  <c r="H28" i="3"/>
  <c r="H18" i="5"/>
  <c r="H9" i="3"/>
  <c r="H3" i="5"/>
  <c r="H40" i="3"/>
  <c r="H24" i="5"/>
  <c r="H62" i="3"/>
  <c r="H56" i="5"/>
  <c r="H51" i="5"/>
  <c r="H54" i="3"/>
  <c r="H46" i="5"/>
  <c r="H19" i="3"/>
  <c r="H40" i="5"/>
  <c r="H12" i="3"/>
  <c r="H47" i="5"/>
  <c r="H31" i="5"/>
  <c r="H42" i="3"/>
  <c r="H36" i="5"/>
  <c r="H5" i="5"/>
  <c r="H23" i="3"/>
  <c r="H35" i="3"/>
  <c r="H14" i="3"/>
  <c r="H22" i="3"/>
  <c r="H41" i="3"/>
  <c r="H2" i="3"/>
  <c r="H2" i="5"/>
  <c r="H8" i="3"/>
  <c r="H6" i="5"/>
  <c r="H46" i="3"/>
  <c r="H7" i="5"/>
  <c r="H10" i="5"/>
  <c r="H27" i="3"/>
  <c r="H17" i="5"/>
  <c r="H7" i="3"/>
  <c r="H32" i="5"/>
  <c r="H51" i="3"/>
  <c r="H53" i="3"/>
  <c r="H33" i="5"/>
  <c r="H31" i="3"/>
  <c r="H49" i="5"/>
  <c r="H48" i="3"/>
  <c r="H37" i="5"/>
  <c r="H20" i="3"/>
  <c r="H61" i="3"/>
  <c r="H55" i="5"/>
  <c r="H9" i="5"/>
  <c r="H58" i="3"/>
  <c r="H11" i="3"/>
  <c r="H3" i="3"/>
  <c r="H48" i="5"/>
  <c r="H24" i="3"/>
  <c r="H50" i="3"/>
  <c r="H43" i="5"/>
  <c r="H65" i="3"/>
  <c r="H17" i="3"/>
  <c r="H38" i="3"/>
  <c r="H27" i="5"/>
  <c r="H29" i="3"/>
  <c r="H20" i="5"/>
  <c r="H5" i="3"/>
  <c r="H4" i="5"/>
  <c r="H32" i="3"/>
  <c r="H50" i="5"/>
  <c r="H18" i="3"/>
  <c r="H4" i="3"/>
  <c r="H8" i="5"/>
  <c r="H26" i="5"/>
  <c r="H12" i="5"/>
  <c r="H13" i="5"/>
  <c r="H55" i="3"/>
  <c r="H45" i="3"/>
  <c r="H38" i="5"/>
  <c r="H43" i="3"/>
  <c r="H25" i="3"/>
  <c r="H16" i="5"/>
  <c r="H21" i="3"/>
  <c r="H33" i="3"/>
  <c r="H22" i="5"/>
  <c r="H15" i="3"/>
  <c r="H49" i="3"/>
  <c r="H42" i="5"/>
  <c r="H30" i="3"/>
  <c r="H19" i="5"/>
  <c r="H63" i="3"/>
  <c r="H57" i="5"/>
  <c r="H34" i="3"/>
  <c r="H39" i="3"/>
  <c r="H64" i="3"/>
  <c r="G60" i="3"/>
  <c r="G47" i="3"/>
  <c r="H13" i="3"/>
  <c r="H26" i="3"/>
  <c r="F63" i="18"/>
  <c r="H20" i="9"/>
  <c r="F4" i="18"/>
  <c r="F62" i="18"/>
  <c r="F54" i="18"/>
  <c r="F58" i="18"/>
  <c r="F44" i="18"/>
  <c r="F35" i="18"/>
  <c r="F55" i="18"/>
  <c r="H57" i="9"/>
  <c r="F60" i="18"/>
  <c r="H18" i="9"/>
  <c r="F50" i="18"/>
  <c r="F45" i="18"/>
  <c r="H13" i="9"/>
  <c r="H19" i="9"/>
  <c r="F57" i="18"/>
  <c r="F61" i="18"/>
  <c r="F67" i="18"/>
  <c r="F66" i="18"/>
  <c r="H27" i="9"/>
  <c r="F65" i="18"/>
  <c r="H32" i="9"/>
  <c r="H64" i="9"/>
  <c r="H39" i="15"/>
  <c r="H49" i="9"/>
  <c r="H21" i="9"/>
  <c r="H39" i="9"/>
  <c r="H25" i="9"/>
  <c r="H47" i="9"/>
  <c r="H11" i="9"/>
  <c r="H29" i="9"/>
  <c r="H22" i="9"/>
  <c r="H44" i="9"/>
  <c r="H28" i="9"/>
  <c r="H31" i="7"/>
  <c r="H19" i="17"/>
  <c r="H20" i="7"/>
  <c r="H61" i="7"/>
  <c r="H57" i="17"/>
  <c r="H32" i="7"/>
  <c r="H20" i="17"/>
  <c r="H27" i="7"/>
  <c r="H12" i="17"/>
  <c r="H16" i="9"/>
  <c r="H26" i="8"/>
  <c r="H57" i="8"/>
  <c r="H27" i="8"/>
  <c r="H19" i="8"/>
  <c r="H7" i="11"/>
  <c r="H46" i="11"/>
  <c r="H24" i="10"/>
  <c r="H11" i="11"/>
  <c r="H2" i="11"/>
  <c r="H57" i="11"/>
  <c r="H58" i="10"/>
  <c r="H38" i="11"/>
  <c r="H25" i="10"/>
  <c r="H17" i="10"/>
  <c r="H17" i="11"/>
  <c r="H42" i="10"/>
  <c r="H34" i="11"/>
  <c r="H3" i="11"/>
  <c r="H49" i="10"/>
  <c r="H15" i="11"/>
  <c r="H39" i="13"/>
  <c r="H25" i="13"/>
  <c r="H20" i="12"/>
  <c r="H58" i="13"/>
  <c r="H58" i="12"/>
  <c r="H4" i="13"/>
  <c r="H21" i="12"/>
  <c r="H18" i="13"/>
  <c r="H13" i="12"/>
  <c r="H38" i="12"/>
  <c r="H48" i="13"/>
  <c r="H47" i="12"/>
  <c r="H19" i="15"/>
  <c r="H22" i="14"/>
  <c r="H46" i="15"/>
  <c r="H57" i="15"/>
  <c r="H58" i="14"/>
  <c r="H20" i="15"/>
  <c r="H23" i="14"/>
  <c r="H12" i="15"/>
  <c r="H41" i="14"/>
  <c r="H21" i="14"/>
  <c r="H50" i="14"/>
  <c r="H59" i="16"/>
  <c r="H22" i="16"/>
  <c r="H14" i="16"/>
  <c r="H20" i="16"/>
  <c r="H21" i="16"/>
  <c r="H40" i="16"/>
  <c r="H39" i="6"/>
  <c r="H21" i="6"/>
  <c r="H22" i="6"/>
  <c r="H14" i="6"/>
  <c r="H58" i="6"/>
  <c r="H59" i="4"/>
  <c r="H24" i="4"/>
  <c r="H27" i="4"/>
  <c r="H17" i="4"/>
  <c r="A47" i="16"/>
  <c r="A47" i="4"/>
  <c r="A9" i="7"/>
  <c r="A47" i="7"/>
  <c r="A47" i="5"/>
  <c r="A45" i="5"/>
  <c r="A45" i="6"/>
  <c r="A47" i="6"/>
  <c r="A47" i="3"/>
  <c r="H3" i="9"/>
  <c r="A29" i="7"/>
  <c r="A29" i="16"/>
  <c r="A7" i="4"/>
  <c r="A48" i="5"/>
  <c r="A39" i="4"/>
  <c r="H36" i="9"/>
  <c r="H59" i="9"/>
  <c r="A46" i="12"/>
  <c r="A26" i="11"/>
  <c r="A36" i="15"/>
  <c r="A30" i="14"/>
  <c r="A37" i="12"/>
  <c r="A42" i="8"/>
  <c r="A28" i="10"/>
  <c r="A60" i="16"/>
  <c r="A62" i="7"/>
  <c r="A27" i="15"/>
  <c r="A64" i="15"/>
  <c r="A35" i="15"/>
  <c r="A59" i="15"/>
  <c r="A60" i="14"/>
  <c r="A43" i="14"/>
  <c r="A29" i="14"/>
  <c r="A39" i="14"/>
  <c r="A18" i="14"/>
  <c r="A60" i="12"/>
  <c r="A27" i="12"/>
  <c r="A4" i="12"/>
  <c r="A18" i="12"/>
  <c r="A66" i="11"/>
  <c r="A13" i="11"/>
  <c r="A59" i="11"/>
  <c r="A16" i="11"/>
  <c r="A28" i="11"/>
  <c r="A25" i="11"/>
  <c r="A8" i="11"/>
  <c r="A65" i="10"/>
  <c r="A22" i="10"/>
  <c r="A40" i="10"/>
  <c r="A60" i="10"/>
  <c r="A16" i="9"/>
  <c r="A31" i="9"/>
  <c r="A59" i="9"/>
  <c r="A36" i="9"/>
  <c r="A2" i="9"/>
  <c r="A3" i="9"/>
  <c r="A59" i="8"/>
  <c r="A66" i="8"/>
  <c r="A6" i="8"/>
  <c r="A24" i="8"/>
  <c r="A2" i="7"/>
  <c r="A33" i="7"/>
  <c r="A64" i="7"/>
  <c r="A48" i="7"/>
  <c r="A63" i="7"/>
  <c r="A36" i="7"/>
  <c r="A23" i="7"/>
  <c r="A37" i="7"/>
  <c r="A11" i="7"/>
  <c r="A46" i="7"/>
  <c r="A38" i="16"/>
  <c r="A18" i="16"/>
  <c r="A19" i="16"/>
  <c r="A60" i="6"/>
  <c r="A29" i="6"/>
  <c r="A34" i="6"/>
  <c r="A37" i="6"/>
  <c r="A16" i="5"/>
  <c r="A11" i="5"/>
  <c r="A59" i="5"/>
  <c r="A10" i="5"/>
  <c r="A7" i="5"/>
  <c r="A6" i="4"/>
  <c r="A35" i="4"/>
  <c r="A29" i="4"/>
  <c r="A61" i="4"/>
  <c r="A12" i="4"/>
  <c r="A37" i="4"/>
  <c r="A60" i="3"/>
  <c r="A38" i="3"/>
  <c r="A42" i="3"/>
  <c r="A16" i="3"/>
  <c r="A41" i="5"/>
  <c r="A17" i="5"/>
  <c r="A7" i="6"/>
  <c r="A44" i="3"/>
  <c r="A9" i="14"/>
  <c r="A35" i="14"/>
  <c r="A40" i="12"/>
  <c r="A33" i="12"/>
  <c r="A47" i="11"/>
  <c r="A41" i="10"/>
  <c r="A43" i="9"/>
  <c r="A37" i="9"/>
  <c r="A43" i="8"/>
  <c r="A64" i="8"/>
  <c r="A5" i="7"/>
  <c r="A48" i="6"/>
  <c r="A8" i="6"/>
  <c r="A17" i="6"/>
  <c r="A44" i="5"/>
  <c r="A45" i="4"/>
  <c r="A42" i="4"/>
  <c r="A43" i="12"/>
  <c r="A46" i="10"/>
  <c r="A34" i="8"/>
  <c r="A11" i="8"/>
  <c r="A44" i="6"/>
  <c r="A7" i="3"/>
  <c r="H43" i="9"/>
  <c r="H46" i="9"/>
  <c r="A14" i="11"/>
  <c r="A42" i="15"/>
  <c r="A11" i="15"/>
  <c r="A21" i="3"/>
  <c r="A64" i="3"/>
  <c r="A16" i="4"/>
  <c r="A40" i="4"/>
  <c r="A49" i="4"/>
  <c r="A2" i="5"/>
  <c r="A64" i="5"/>
  <c r="A13" i="6"/>
  <c r="A65" i="6"/>
  <c r="A18" i="6"/>
  <c r="A12" i="12"/>
  <c r="A46" i="14"/>
  <c r="A40" i="14"/>
  <c r="A14" i="14"/>
  <c r="A46" i="9"/>
  <c r="A37" i="8"/>
  <c r="A16" i="10"/>
  <c r="A40" i="7"/>
  <c r="A26" i="7"/>
  <c r="A53" i="7"/>
  <c r="A35" i="5"/>
  <c r="A32" i="6"/>
  <c r="A47" i="8"/>
  <c r="A2" i="8"/>
  <c r="A12" i="9"/>
  <c r="A30" i="9"/>
  <c r="A64" i="9"/>
  <c r="A34" i="4"/>
  <c r="A37" i="3"/>
  <c r="H30" i="9"/>
  <c r="A33" i="14"/>
  <c r="A30" i="15"/>
  <c r="A34" i="10"/>
  <c r="A31" i="12"/>
  <c r="A2" i="3"/>
  <c r="A66" i="10"/>
  <c r="A22" i="3"/>
  <c r="A19" i="15"/>
  <c r="A34" i="3"/>
  <c r="A38" i="7"/>
  <c r="A9" i="8"/>
  <c r="A8" i="9"/>
  <c r="A47" i="10"/>
  <c r="A26" i="10"/>
  <c r="A56" i="11"/>
  <c r="A8" i="12"/>
  <c r="A29" i="3"/>
  <c r="A32" i="5"/>
  <c r="A52" i="7"/>
  <c r="A60" i="7"/>
  <c r="A66" i="3"/>
  <c r="A28" i="3"/>
  <c r="A10" i="3"/>
  <c r="A3" i="3"/>
  <c r="A53" i="3"/>
  <c r="A58" i="3"/>
  <c r="A36" i="3"/>
  <c r="A27" i="3"/>
  <c r="A20" i="12"/>
  <c r="A13" i="12"/>
  <c r="A62" i="12"/>
  <c r="A24" i="3"/>
  <c r="A65" i="3"/>
  <c r="A51" i="3"/>
  <c r="A17" i="7"/>
  <c r="A51" i="7"/>
  <c r="A15" i="7"/>
  <c r="A23" i="10"/>
  <c r="A9" i="3"/>
  <c r="A19" i="4"/>
  <c r="A20" i="3"/>
  <c r="A56" i="7"/>
  <c r="A66" i="7"/>
  <c r="A52" i="14"/>
  <c r="A12" i="5"/>
  <c r="A55" i="5"/>
  <c r="A59" i="7"/>
  <c r="A7" i="7"/>
  <c r="A18" i="8"/>
  <c r="A42" i="9"/>
  <c r="A48" i="9"/>
  <c r="A11" i="9"/>
  <c r="A49" i="9"/>
  <c r="A5" i="10"/>
  <c r="A51" i="11"/>
  <c r="A44" i="11"/>
  <c r="A58" i="12"/>
  <c r="A57" i="12"/>
  <c r="A41" i="15"/>
  <c r="A15" i="15"/>
  <c r="A37" i="11"/>
  <c r="A46" i="3"/>
  <c r="A50" i="3"/>
  <c r="A35" i="3"/>
  <c r="A30" i="3"/>
  <c r="A18" i="3"/>
  <c r="A32" i="3"/>
  <c r="A52" i="3"/>
  <c r="A43" i="5"/>
  <c r="A19" i="5"/>
  <c r="A10" i="7"/>
  <c r="A18" i="7"/>
  <c r="A7" i="9"/>
  <c r="A22" i="9"/>
  <c r="A17" i="9"/>
  <c r="A32" i="11"/>
  <c r="A63" i="12"/>
  <c r="A6" i="14"/>
  <c r="A4" i="14"/>
  <c r="A57" i="5"/>
  <c r="A8" i="5"/>
  <c r="A57" i="7"/>
  <c r="A49" i="7"/>
  <c r="A58" i="7"/>
  <c r="A34" i="7"/>
  <c r="A29" i="9"/>
  <c r="A52" i="11"/>
  <c r="A7" i="11"/>
  <c r="A27" i="11"/>
  <c r="A35" i="11"/>
  <c r="A44" i="12"/>
  <c r="A34" i="15"/>
  <c r="A50" i="15"/>
  <c r="A8" i="7"/>
  <c r="A26" i="9"/>
  <c r="A43" i="11"/>
  <c r="A5" i="12"/>
  <c r="A16" i="14"/>
  <c r="A21" i="8"/>
  <c r="A27" i="8"/>
  <c r="A3" i="8"/>
  <c r="A62" i="9"/>
  <c r="A21" i="9"/>
  <c r="A9" i="11"/>
  <c r="A57" i="11"/>
  <c r="A58" i="14"/>
  <c r="A33" i="15"/>
  <c r="A29" i="15"/>
  <c r="A55" i="9"/>
  <c r="A39" i="11"/>
  <c r="A49" i="12"/>
  <c r="A38" i="12"/>
  <c r="A53" i="14"/>
  <c r="A38" i="5"/>
  <c r="A4" i="3"/>
  <c r="A41" i="3"/>
  <c r="A40" i="3"/>
  <c r="A19" i="3"/>
  <c r="A54" i="3"/>
  <c r="A23" i="3"/>
  <c r="A17" i="3"/>
  <c r="A55" i="11"/>
  <c r="A31" i="11"/>
  <c r="A11" i="12"/>
  <c r="A63" i="14"/>
  <c r="A3" i="14"/>
  <c r="A21" i="15"/>
  <c r="A43" i="15"/>
  <c r="A49" i="15"/>
  <c r="A36" i="14"/>
  <c r="A48" i="15"/>
  <c r="A5" i="5"/>
  <c r="A62" i="5"/>
  <c r="A25" i="5"/>
  <c r="A44" i="7"/>
  <c r="A19" i="7"/>
  <c r="A27" i="9"/>
  <c r="A14" i="9"/>
  <c r="A62" i="11"/>
  <c r="A63" i="11"/>
  <c r="A55" i="12"/>
  <c r="A61" i="12"/>
  <c r="A34" i="14"/>
  <c r="A10" i="15"/>
  <c r="A31" i="15"/>
  <c r="A54" i="15"/>
  <c r="A7" i="15"/>
  <c r="A22" i="15"/>
  <c r="A46" i="15"/>
  <c r="A66" i="15"/>
  <c r="A18" i="15"/>
  <c r="A51" i="15"/>
  <c r="A38" i="15"/>
  <c r="A52" i="15"/>
  <c r="A40" i="15"/>
  <c r="A9" i="15"/>
  <c r="A53" i="15"/>
  <c r="A17" i="15"/>
  <c r="A14" i="15"/>
  <c r="A65" i="15"/>
  <c r="A44" i="15"/>
  <c r="A57" i="15"/>
  <c r="A32" i="15"/>
  <c r="A3" i="15"/>
  <c r="A6" i="15"/>
  <c r="A28" i="15"/>
  <c r="A8" i="15"/>
  <c r="A24" i="15"/>
  <c r="A60" i="15"/>
  <c r="A4" i="15"/>
  <c r="A47" i="15"/>
  <c r="A63" i="15"/>
  <c r="A2" i="15"/>
  <c r="A61" i="15"/>
  <c r="A58" i="15"/>
  <c r="A39" i="15"/>
  <c r="A55" i="15"/>
  <c r="A37" i="15"/>
  <c r="A13" i="15"/>
  <c r="A56" i="15"/>
  <c r="A45" i="15"/>
  <c r="A12" i="15"/>
  <c r="A62" i="15"/>
  <c r="A25" i="14"/>
  <c r="A55" i="14"/>
  <c r="A22" i="14"/>
  <c r="A61" i="14"/>
  <c r="A7" i="14"/>
  <c r="A41" i="14"/>
  <c r="A28" i="14"/>
  <c r="A50" i="14"/>
  <c r="A62" i="14"/>
  <c r="A59" i="14"/>
  <c r="A49" i="14"/>
  <c r="A57" i="14"/>
  <c r="A15" i="14"/>
  <c r="A45" i="14"/>
  <c r="A65" i="14"/>
  <c r="A44" i="14"/>
  <c r="A11" i="14"/>
  <c r="A32" i="14"/>
  <c r="A12" i="14"/>
  <c r="A54" i="14"/>
  <c r="A64" i="14"/>
  <c r="A38" i="14"/>
  <c r="A27" i="14"/>
  <c r="A56" i="14"/>
  <c r="A47" i="14"/>
  <c r="A13" i="14"/>
  <c r="A66" i="14"/>
  <c r="A21" i="14"/>
  <c r="A5" i="14"/>
  <c r="A42" i="14"/>
  <c r="A2" i="14"/>
  <c r="A37" i="14"/>
  <c r="A23" i="14"/>
  <c r="A17" i="14"/>
  <c r="A31" i="14"/>
  <c r="A51" i="14"/>
  <c r="A48" i="14"/>
  <c r="A24" i="14"/>
  <c r="A20" i="14"/>
  <c r="A10" i="14"/>
  <c r="A42" i="12"/>
  <c r="A65" i="12"/>
  <c r="A30" i="12"/>
  <c r="A36" i="12"/>
  <c r="A41" i="12"/>
  <c r="A9" i="12"/>
  <c r="A10" i="12"/>
  <c r="A17" i="12"/>
  <c r="A7" i="12"/>
  <c r="A66" i="12"/>
  <c r="A19" i="12"/>
  <c r="A52" i="12"/>
  <c r="A39" i="12"/>
  <c r="A53" i="12"/>
  <c r="A35" i="12"/>
  <c r="A21" i="12"/>
  <c r="A15" i="12"/>
  <c r="A28" i="12"/>
  <c r="A29" i="12"/>
  <c r="A48" i="12"/>
  <c r="A25" i="12"/>
  <c r="A50" i="12"/>
  <c r="A54" i="12"/>
  <c r="A14" i="12"/>
  <c r="A45" i="12"/>
  <c r="A22" i="12"/>
  <c r="A34" i="12"/>
  <c r="A3" i="12"/>
  <c r="A23" i="12"/>
  <c r="A16" i="12"/>
  <c r="A64" i="12"/>
  <c r="A32" i="12"/>
  <c r="A26" i="12"/>
  <c r="A47" i="12"/>
  <c r="A51" i="12"/>
  <c r="A59" i="12"/>
  <c r="A56" i="12"/>
  <c r="A2" i="13"/>
  <c r="A46" i="11"/>
  <c r="A12" i="11"/>
  <c r="A4" i="11"/>
  <c r="A21" i="11"/>
  <c r="A10" i="11"/>
  <c r="A6" i="11"/>
  <c r="A60" i="11"/>
  <c r="A17" i="11"/>
  <c r="A15" i="11"/>
  <c r="A68" i="11"/>
  <c r="A65" i="11"/>
  <c r="A20" i="11"/>
  <c r="A42" i="11"/>
  <c r="A24" i="11"/>
  <c r="A61" i="11"/>
  <c r="A34" i="11"/>
  <c r="A58" i="11"/>
  <c r="A11" i="11"/>
  <c r="A18" i="11"/>
  <c r="A19" i="11"/>
  <c r="A48" i="11"/>
  <c r="A40" i="11"/>
  <c r="A2" i="11"/>
  <c r="A30" i="11"/>
  <c r="A38" i="11"/>
  <c r="A23" i="11"/>
  <c r="A67" i="11"/>
  <c r="A45" i="11"/>
  <c r="A50" i="11"/>
  <c r="A53" i="11"/>
  <c r="A64" i="11"/>
  <c r="A29" i="11"/>
  <c r="A54" i="11"/>
  <c r="A35" i="10"/>
  <c r="A58" i="10"/>
  <c r="A11" i="10"/>
  <c r="A31" i="10"/>
  <c r="A29" i="10"/>
  <c r="A9" i="10"/>
  <c r="A44" i="10"/>
  <c r="A6" i="10"/>
  <c r="A55" i="10"/>
  <c r="A53" i="10"/>
  <c r="A54" i="10"/>
  <c r="A45" i="10"/>
  <c r="A50" i="10"/>
  <c r="A36" i="10"/>
  <c r="A18" i="10"/>
  <c r="A3" i="10"/>
  <c r="A14" i="10"/>
  <c r="A4" i="10"/>
  <c r="A51" i="10"/>
  <c r="A63" i="10"/>
  <c r="A64" i="10"/>
  <c r="A13" i="10"/>
  <c r="A12" i="10"/>
  <c r="A33" i="10"/>
  <c r="A27" i="10"/>
  <c r="A20" i="10"/>
  <c r="A15" i="10"/>
  <c r="A42" i="10"/>
  <c r="A52" i="10"/>
  <c r="A37" i="10"/>
  <c r="A8" i="10"/>
  <c r="A56" i="10"/>
  <c r="A24" i="10"/>
  <c r="A10" i="10"/>
  <c r="A30" i="10"/>
  <c r="A49" i="10"/>
  <c r="A21" i="10"/>
  <c r="A62" i="10"/>
  <c r="A59" i="10"/>
  <c r="A32" i="10"/>
  <c r="A57" i="10"/>
  <c r="A7" i="10"/>
  <c r="A17" i="10"/>
  <c r="A39" i="10"/>
  <c r="A48" i="10"/>
  <c r="A61" i="10"/>
  <c r="A38" i="10"/>
  <c r="A2" i="10"/>
  <c r="A25" i="10"/>
  <c r="A19" i="10"/>
  <c r="A19" i="9"/>
  <c r="A10" i="9"/>
  <c r="A53" i="9"/>
  <c r="A13" i="9"/>
  <c r="A65" i="9"/>
  <c r="A35" i="9"/>
  <c r="A6" i="9"/>
  <c r="A50" i="9"/>
  <c r="A34" i="9"/>
  <c r="A28" i="9"/>
  <c r="A9" i="9"/>
  <c r="A54" i="9"/>
  <c r="A60" i="9"/>
  <c r="A5" i="9"/>
  <c r="A47" i="9"/>
  <c r="A63" i="9"/>
  <c r="A32" i="9"/>
  <c r="A25" i="9"/>
  <c r="A23" i="9"/>
  <c r="A61" i="9"/>
  <c r="A58" i="9"/>
  <c r="A45" i="9"/>
  <c r="A66" i="9"/>
  <c r="A18" i="9"/>
  <c r="A51" i="9"/>
  <c r="A39" i="9"/>
  <c r="A52" i="9"/>
  <c r="A41" i="9"/>
  <c r="A20" i="9"/>
  <c r="A15" i="9"/>
  <c r="A56" i="9"/>
  <c r="A57" i="9"/>
  <c r="A44" i="9"/>
  <c r="A33" i="9"/>
  <c r="A4" i="9"/>
  <c r="A19" i="8"/>
  <c r="A45" i="8"/>
  <c r="A62" i="8"/>
  <c r="A28" i="8"/>
  <c r="A15" i="8"/>
  <c r="A65" i="8"/>
  <c r="A5" i="8"/>
  <c r="A26" i="8"/>
  <c r="A40" i="8"/>
  <c r="A13" i="8"/>
  <c r="A7" i="8"/>
  <c r="A12" i="8"/>
  <c r="A52" i="8"/>
  <c r="A4" i="8"/>
  <c r="A51" i="8"/>
  <c r="A25" i="8"/>
  <c r="A41" i="8"/>
  <c r="A22" i="8"/>
  <c r="A29" i="8"/>
  <c r="A20" i="8"/>
  <c r="A46" i="8"/>
  <c r="A57" i="8"/>
  <c r="A39" i="8"/>
  <c r="A36" i="8"/>
  <c r="A8" i="8"/>
  <c r="A53" i="8"/>
  <c r="A16" i="8"/>
  <c r="A49" i="8"/>
  <c r="A56" i="8"/>
  <c r="A50" i="8"/>
  <c r="A10" i="8"/>
  <c r="A35" i="8"/>
  <c r="A17" i="8"/>
  <c r="A54" i="8"/>
  <c r="A60" i="8"/>
  <c r="A14" i="8"/>
  <c r="A48" i="8"/>
  <c r="A63" i="8"/>
  <c r="A23" i="8"/>
  <c r="A38" i="8"/>
  <c r="A32" i="8"/>
  <c r="A61" i="8"/>
  <c r="A58" i="8"/>
  <c r="A33" i="8"/>
  <c r="A55" i="8"/>
  <c r="A30" i="8"/>
  <c r="A22" i="7"/>
  <c r="A55" i="7"/>
  <c r="A41" i="7"/>
  <c r="A35" i="7"/>
  <c r="A13" i="7"/>
  <c r="A20" i="7"/>
  <c r="A31" i="7"/>
  <c r="A61" i="7"/>
  <c r="A27" i="7"/>
  <c r="A45" i="7"/>
  <c r="A25" i="7"/>
  <c r="A3" i="7"/>
  <c r="A24" i="7"/>
  <c r="A12" i="7"/>
  <c r="A30" i="7"/>
  <c r="A16" i="7"/>
  <c r="A39" i="7"/>
  <c r="A32" i="7"/>
  <c r="A4" i="7"/>
  <c r="A43" i="7"/>
  <c r="A21" i="7"/>
  <c r="A42" i="7"/>
  <c r="A14" i="7"/>
  <c r="A6" i="7"/>
  <c r="A31" i="6"/>
  <c r="A12" i="6"/>
  <c r="A57" i="6"/>
  <c r="A20" i="6"/>
  <c r="A42" i="6"/>
  <c r="A58" i="6"/>
  <c r="A11" i="6"/>
  <c r="A26" i="6"/>
  <c r="A19" i="6"/>
  <c r="A53" i="6"/>
  <c r="A43" i="6"/>
  <c r="A10" i="6"/>
  <c r="A15" i="6"/>
  <c r="A40" i="6"/>
  <c r="A52" i="6"/>
  <c r="A4" i="6"/>
  <c r="A66" i="6"/>
  <c r="A30" i="6"/>
  <c r="A49" i="6"/>
  <c r="A24" i="6"/>
  <c r="A21" i="6"/>
  <c r="A2" i="6"/>
  <c r="A54" i="6"/>
  <c r="A50" i="6"/>
  <c r="A63" i="6"/>
  <c r="A64" i="6"/>
  <c r="A9" i="6"/>
  <c r="A56" i="6"/>
  <c r="A36" i="6"/>
  <c r="A22" i="6"/>
  <c r="A16" i="6"/>
  <c r="A46" i="6"/>
  <c r="A23" i="6"/>
  <c r="A35" i="6"/>
  <c r="A5" i="6"/>
  <c r="A61" i="6"/>
  <c r="A6" i="6"/>
  <c r="A33" i="6"/>
  <c r="A27" i="6"/>
  <c r="A62" i="6"/>
  <c r="A59" i="6"/>
  <c r="A39" i="6"/>
  <c r="A25" i="6"/>
  <c r="A28" i="6"/>
  <c r="A3" i="6"/>
  <c r="A55" i="6"/>
  <c r="A14" i="6"/>
  <c r="A51" i="6"/>
  <c r="A50" i="5"/>
  <c r="A34" i="5"/>
  <c r="A21" i="5"/>
  <c r="A54" i="5"/>
  <c r="A24" i="5"/>
  <c r="A30" i="5"/>
  <c r="A4" i="5"/>
  <c r="A37" i="5"/>
  <c r="A14" i="5"/>
  <c r="A28" i="5"/>
  <c r="A23" i="5"/>
  <c r="A22" i="5"/>
  <c r="A60" i="5"/>
  <c r="A15" i="5"/>
  <c r="A49" i="5"/>
  <c r="A63" i="5"/>
  <c r="A36" i="5"/>
  <c r="A33" i="5"/>
  <c r="A31" i="5"/>
  <c r="A61" i="5"/>
  <c r="A58" i="5"/>
  <c r="A56" i="5"/>
  <c r="A39" i="5"/>
  <c r="A6" i="5"/>
  <c r="A18" i="5"/>
  <c r="A13" i="5"/>
  <c r="A29" i="5"/>
  <c r="A66" i="5"/>
  <c r="A27" i="5"/>
  <c r="A3" i="5"/>
  <c r="A40" i="5"/>
  <c r="A52" i="5"/>
  <c r="A42" i="5"/>
  <c r="A20" i="5"/>
  <c r="A53" i="5"/>
  <c r="A65" i="5"/>
  <c r="A9" i="5"/>
  <c r="A51" i="5"/>
  <c r="A46" i="5"/>
  <c r="A44" i="4"/>
  <c r="A4" i="4"/>
  <c r="A59" i="4"/>
  <c r="A31" i="4"/>
  <c r="A62" i="4"/>
  <c r="A11" i="4"/>
  <c r="A50" i="4"/>
  <c r="A64" i="4"/>
  <c r="A63" i="4"/>
  <c r="A60" i="4"/>
  <c r="A3" i="4"/>
  <c r="A13" i="4"/>
  <c r="A43" i="4"/>
  <c r="A9" i="4"/>
  <c r="A26" i="4"/>
  <c r="A66" i="4"/>
  <c r="A38" i="4"/>
  <c r="A5" i="4"/>
  <c r="A17" i="4"/>
  <c r="A58" i="4"/>
  <c r="A18" i="4"/>
  <c r="A15" i="4"/>
  <c r="A65" i="4"/>
  <c r="A57" i="4"/>
  <c r="A22" i="4"/>
  <c r="A36" i="4"/>
  <c r="A10" i="4"/>
  <c r="A48" i="4"/>
  <c r="A20" i="4"/>
  <c r="A53" i="4"/>
  <c r="A32" i="4"/>
  <c r="A52" i="4"/>
  <c r="A55" i="4"/>
  <c r="A41" i="4"/>
  <c r="A54" i="4"/>
  <c r="A23" i="4"/>
  <c r="A67" i="4"/>
  <c r="A33" i="4"/>
  <c r="A24" i="4"/>
  <c r="A51" i="4"/>
  <c r="A14" i="4"/>
  <c r="A27" i="4"/>
  <c r="A28" i="4"/>
  <c r="A25" i="4"/>
  <c r="A2" i="4"/>
  <c r="A56" i="4"/>
  <c r="A5" i="3"/>
  <c r="A31" i="3"/>
  <c r="A8" i="3"/>
  <c r="A63" i="3"/>
  <c r="A49" i="3"/>
  <c r="A57" i="3"/>
  <c r="A39" i="3"/>
  <c r="A26" i="3"/>
  <c r="A12" i="3"/>
  <c r="A55" i="3"/>
  <c r="A33" i="3"/>
  <c r="A11" i="3"/>
  <c r="A48" i="3"/>
  <c r="A15" i="3"/>
  <c r="A61" i="3"/>
  <c r="A56" i="3"/>
  <c r="A14" i="3"/>
  <c r="A43" i="3"/>
  <c r="A25" i="3"/>
  <c r="A59" i="3"/>
  <c r="A62" i="3"/>
  <c r="G54" i="8" l="1"/>
  <c r="F49" i="18"/>
  <c r="G31" i="8"/>
  <c r="F39" i="18"/>
  <c r="G52" i="8"/>
  <c r="F18" i="18"/>
  <c r="G3" i="8"/>
  <c r="F29" i="18"/>
  <c r="G41" i="8"/>
  <c r="F14" i="18"/>
  <c r="G51" i="8"/>
  <c r="F11" i="18"/>
  <c r="G28" i="8"/>
  <c r="F32" i="18"/>
  <c r="G65" i="8"/>
  <c r="F22" i="18"/>
  <c r="G55" i="8"/>
  <c r="F17" i="18"/>
  <c r="G21" i="8"/>
  <c r="F12" i="18"/>
  <c r="G50" i="8"/>
  <c r="F41" i="18"/>
  <c r="G4" i="8"/>
  <c r="F15" i="18"/>
  <c r="G13" i="8"/>
  <c r="F19" i="18"/>
  <c r="G22" i="8"/>
  <c r="F13" i="18"/>
  <c r="G53" i="8"/>
  <c r="F42" i="18"/>
  <c r="G60" i="8"/>
  <c r="F53" i="18"/>
  <c r="G35" i="8"/>
  <c r="F30" i="18"/>
  <c r="G9" i="8"/>
  <c r="F37" i="18"/>
  <c r="G66" i="8"/>
  <c r="F3" i="18"/>
  <c r="G63" i="8"/>
  <c r="F28" i="18"/>
  <c r="G64" i="8"/>
  <c r="F16" i="18"/>
  <c r="G18" i="8"/>
  <c r="F38" i="18"/>
  <c r="G11" i="8"/>
  <c r="F24" i="18"/>
  <c r="G46" i="8"/>
  <c r="F21" i="18"/>
  <c r="G16" i="8"/>
  <c r="F46" i="18"/>
  <c r="G62" i="8"/>
  <c r="F27" i="18"/>
  <c r="G5" i="8"/>
  <c r="F36" i="18"/>
  <c r="G29" i="8"/>
  <c r="F33" i="18"/>
  <c r="G15" i="11"/>
  <c r="F7" i="18"/>
  <c r="G40" i="8"/>
  <c r="F5" i="18"/>
  <c r="G10" i="8"/>
  <c r="F51" i="18"/>
  <c r="G48" i="8"/>
  <c r="F31" i="18"/>
  <c r="G49" i="8"/>
  <c r="F25" i="18"/>
  <c r="G56" i="8"/>
  <c r="F48" i="18"/>
  <c r="G14" i="8"/>
  <c r="F47" i="18"/>
  <c r="G17" i="8"/>
  <c r="F34" i="18"/>
  <c r="G45" i="8"/>
  <c r="F23" i="18"/>
  <c r="G27" i="13"/>
  <c r="G22" i="11"/>
  <c r="G46" i="17"/>
  <c r="G46" i="9"/>
  <c r="G47" i="8"/>
  <c r="G48" i="16"/>
  <c r="G48" i="6"/>
  <c r="G49" i="4"/>
  <c r="G20" i="7"/>
  <c r="G32" i="8"/>
  <c r="G33" i="8"/>
  <c r="G42" i="8"/>
  <c r="G38" i="8"/>
  <c r="G8" i="8"/>
  <c r="G58" i="8"/>
  <c r="G32" i="9"/>
  <c r="G39" i="8"/>
  <c r="G14" i="9"/>
  <c r="G20" i="8"/>
  <c r="G29" i="9"/>
  <c r="G36" i="8"/>
  <c r="G30" i="8"/>
  <c r="G15" i="8"/>
  <c r="G23" i="8"/>
  <c r="G27" i="9"/>
  <c r="G34" i="8"/>
  <c r="G2" i="9"/>
  <c r="G24" i="8"/>
  <c r="G30" i="9"/>
  <c r="G37" i="8"/>
  <c r="G12" i="9"/>
  <c r="G2" i="8"/>
  <c r="G40" i="9"/>
  <c r="G44" i="8"/>
  <c r="G61" i="9"/>
  <c r="G61" i="8"/>
  <c r="G44" i="9"/>
  <c r="G7" i="8"/>
  <c r="G36" i="9"/>
  <c r="G6" i="8"/>
  <c r="G15" i="10"/>
  <c r="G11" i="9"/>
  <c r="G54" i="10"/>
  <c r="G52" i="9"/>
  <c r="G46" i="10"/>
  <c r="G43" i="9"/>
  <c r="G38" i="10"/>
  <c r="G34" i="9"/>
  <c r="G9" i="10"/>
  <c r="G5" i="9"/>
  <c r="G20" i="10"/>
  <c r="G16" i="9"/>
  <c r="G13" i="10"/>
  <c r="G9" i="9"/>
  <c r="G56" i="10"/>
  <c r="G54" i="9"/>
  <c r="G12" i="10"/>
  <c r="G8" i="9"/>
  <c r="G44" i="10"/>
  <c r="G41" i="9"/>
  <c r="G6" i="9"/>
  <c r="G17" i="9"/>
  <c r="G23" i="9"/>
  <c r="G4" i="10"/>
  <c r="G65" i="9"/>
  <c r="G37" i="10"/>
  <c r="G33" i="9"/>
  <c r="G14" i="10"/>
  <c r="G10" i="9"/>
  <c r="G59" i="10"/>
  <c r="G58" i="9"/>
  <c r="G66" i="10"/>
  <c r="G66" i="9"/>
  <c r="G64" i="10"/>
  <c r="G63" i="9"/>
  <c r="G30" i="10"/>
  <c r="G25" i="9"/>
  <c r="G41" i="10"/>
  <c r="G37" i="9"/>
  <c r="G29" i="10"/>
  <c r="G24" i="9"/>
  <c r="G39" i="10"/>
  <c r="G35" i="9"/>
  <c r="G31" i="10"/>
  <c r="G26" i="9"/>
  <c r="G52" i="10"/>
  <c r="G49" i="9"/>
  <c r="G3" i="10"/>
  <c r="G39" i="9"/>
  <c r="G8" i="10"/>
  <c r="G4" i="9"/>
  <c r="G63" i="10"/>
  <c r="G62" i="9"/>
  <c r="G5" i="10"/>
  <c r="G51" i="9"/>
  <c r="G11" i="10"/>
  <c r="G7" i="9"/>
  <c r="G27" i="10"/>
  <c r="G22" i="9"/>
  <c r="G26" i="10"/>
  <c r="G21" i="9"/>
  <c r="G51" i="10"/>
  <c r="G48" i="9"/>
  <c r="G7" i="10"/>
  <c r="G56" i="9"/>
  <c r="G35" i="10"/>
  <c r="G31" i="9"/>
  <c r="G49" i="10"/>
  <c r="G55" i="10"/>
  <c r="G53" i="9"/>
  <c r="G45" i="10"/>
  <c r="G42" i="9"/>
  <c r="G65" i="10"/>
  <c r="G64" i="9"/>
  <c r="G61" i="10"/>
  <c r="G60" i="9"/>
  <c r="G33" i="10"/>
  <c r="G28" i="9"/>
  <c r="G48" i="10"/>
  <c r="G45" i="9"/>
  <c r="G57" i="10"/>
  <c r="G55" i="9"/>
  <c r="G53" i="10"/>
  <c r="G50" i="9"/>
  <c r="G19" i="10"/>
  <c r="G15" i="9"/>
  <c r="G50" i="10"/>
  <c r="G47" i="9"/>
  <c r="G10" i="11"/>
  <c r="G16" i="10"/>
  <c r="G39" i="11"/>
  <c r="G43" i="10"/>
  <c r="G61" i="11"/>
  <c r="G62" i="10"/>
  <c r="G44" i="11"/>
  <c r="G47" i="10"/>
  <c r="G31" i="11"/>
  <c r="G36" i="10"/>
  <c r="G12" i="11"/>
  <c r="G18" i="10"/>
  <c r="G28" i="11"/>
  <c r="G6" i="10"/>
  <c r="G35" i="11"/>
  <c r="G40" i="10"/>
  <c r="G28" i="10"/>
  <c r="G21" i="10"/>
  <c r="G10" i="10"/>
  <c r="G26" i="11"/>
  <c r="G32" i="10"/>
  <c r="G16" i="11"/>
  <c r="G22" i="10"/>
  <c r="G29" i="11"/>
  <c r="G34" i="10"/>
  <c r="G27" i="12"/>
  <c r="G25" i="11"/>
  <c r="G50" i="12"/>
  <c r="G49" i="11"/>
  <c r="G39" i="12"/>
  <c r="G38" i="11"/>
  <c r="G3" i="12"/>
  <c r="G2" i="11"/>
  <c r="G62" i="12"/>
  <c r="G63" i="11"/>
  <c r="G62" i="11"/>
  <c r="G51" i="11"/>
  <c r="G7" i="12"/>
  <c r="G5" i="11"/>
  <c r="G23" i="12"/>
  <c r="G21" i="11"/>
  <c r="G22" i="12"/>
  <c r="G20" i="11"/>
  <c r="G57" i="12"/>
  <c r="G56" i="11"/>
  <c r="G32" i="12"/>
  <c r="G30" i="11"/>
  <c r="G47" i="12"/>
  <c r="G66" i="11"/>
  <c r="G61" i="12"/>
  <c r="G60" i="11"/>
  <c r="G29" i="12"/>
  <c r="G27" i="11"/>
  <c r="G46" i="12"/>
  <c r="G45" i="11"/>
  <c r="G56" i="12"/>
  <c r="G55" i="11"/>
  <c r="G51" i="12"/>
  <c r="G50" i="11"/>
  <c r="G15" i="12"/>
  <c r="G13" i="11"/>
  <c r="G48" i="12"/>
  <c r="G47" i="11"/>
  <c r="G53" i="11"/>
  <c r="G49" i="12"/>
  <c r="G48" i="11"/>
  <c r="G4" i="11"/>
  <c r="G11" i="12"/>
  <c r="G9" i="11"/>
  <c r="G53" i="12"/>
  <c r="G52" i="11"/>
  <c r="G43" i="12"/>
  <c r="G42" i="11"/>
  <c r="G35" i="12"/>
  <c r="G33" i="11"/>
  <c r="G42" i="12"/>
  <c r="G41" i="11"/>
  <c r="G36" i="12"/>
  <c r="G34" i="11"/>
  <c r="G55" i="12"/>
  <c r="G54" i="11"/>
  <c r="G5" i="12"/>
  <c r="G3" i="11"/>
  <c r="G16" i="12"/>
  <c r="G14" i="11"/>
  <c r="G9" i="12"/>
  <c r="G7" i="11"/>
  <c r="G8" i="12"/>
  <c r="G6" i="11"/>
  <c r="G41" i="12"/>
  <c r="G40" i="11"/>
  <c r="G46" i="11"/>
  <c r="G65" i="12"/>
  <c r="G67" i="11"/>
  <c r="G34" i="12"/>
  <c r="G32" i="11"/>
  <c r="G10" i="12"/>
  <c r="G8" i="11"/>
  <c r="G59" i="12"/>
  <c r="G58" i="11"/>
  <c r="G66" i="12"/>
  <c r="G68" i="11"/>
  <c r="G63" i="12"/>
  <c r="G65" i="11"/>
  <c r="G64" i="11"/>
  <c r="G26" i="12"/>
  <c r="G24" i="11"/>
  <c r="G37" i="12"/>
  <c r="G36" i="11"/>
  <c r="G25" i="12"/>
  <c r="G23" i="11"/>
  <c r="G2" i="12"/>
  <c r="G54" i="13"/>
  <c r="G54" i="12"/>
  <c r="G8" i="13"/>
  <c r="G33" i="12"/>
  <c r="G19" i="13"/>
  <c r="G14" i="12"/>
  <c r="G6" i="13"/>
  <c r="G30" i="12"/>
  <c r="G6" i="12"/>
  <c r="G17" i="12"/>
  <c r="G24" i="12"/>
  <c r="G31" i="13"/>
  <c r="G28" i="12"/>
  <c r="G23" i="13"/>
  <c r="G18" i="12"/>
  <c r="G33" i="13"/>
  <c r="G31" i="12"/>
  <c r="G64" i="13"/>
  <c r="G64" i="12"/>
  <c r="G37" i="13"/>
  <c r="G4" i="12"/>
  <c r="G52" i="13"/>
  <c r="G52" i="12"/>
  <c r="G17" i="13"/>
  <c r="G12" i="12"/>
  <c r="G41" i="13"/>
  <c r="G40" i="12"/>
  <c r="G46" i="13"/>
  <c r="G45" i="12"/>
  <c r="G52" i="14"/>
  <c r="G50" i="13"/>
  <c r="G16" i="13"/>
  <c r="G2" i="14"/>
  <c r="G53" i="13"/>
  <c r="G46" i="14"/>
  <c r="G44" i="13"/>
  <c r="G37" i="14"/>
  <c r="G7" i="13"/>
  <c r="G45" i="14"/>
  <c r="G43" i="13"/>
  <c r="G38" i="14"/>
  <c r="G36" i="13"/>
  <c r="G56" i="14"/>
  <c r="G55" i="13"/>
  <c r="G7" i="14"/>
  <c r="G10" i="13"/>
  <c r="G21" i="13"/>
  <c r="G14" i="13"/>
  <c r="G57" i="14"/>
  <c r="G56" i="13"/>
  <c r="G13" i="13"/>
  <c r="G44" i="14"/>
  <c r="G42" i="13"/>
  <c r="G22" i="13"/>
  <c r="G62" i="14"/>
  <c r="G61" i="13"/>
  <c r="G49" i="14"/>
  <c r="G47" i="13"/>
  <c r="G20" i="13"/>
  <c r="G65" i="14"/>
  <c r="G65" i="13"/>
  <c r="G36" i="14"/>
  <c r="G35" i="13"/>
  <c r="G15" i="13"/>
  <c r="G59" i="14"/>
  <c r="G59" i="13"/>
  <c r="G66" i="14"/>
  <c r="G66" i="13"/>
  <c r="G63" i="14"/>
  <c r="G63" i="13"/>
  <c r="G29" i="13"/>
  <c r="G40" i="14"/>
  <c r="G38" i="13"/>
  <c r="G28" i="13"/>
  <c r="G51" i="14"/>
  <c r="G49" i="13"/>
  <c r="G29" i="14"/>
  <c r="G30" i="13"/>
  <c r="G53" i="14"/>
  <c r="G5" i="13"/>
  <c r="G42" i="14"/>
  <c r="G40" i="13"/>
  <c r="G6" i="14"/>
  <c r="G9" i="13"/>
  <c r="G4" i="14"/>
  <c r="G62" i="13"/>
  <c r="G12" i="13"/>
  <c r="G26" i="13"/>
  <c r="G3" i="13"/>
  <c r="G31" i="14"/>
  <c r="G32" i="13"/>
  <c r="G54" i="14"/>
  <c r="G51" i="13"/>
  <c r="G3" i="14"/>
  <c r="G57" i="13"/>
  <c r="G34" i="14"/>
  <c r="G34" i="13"/>
  <c r="G50" i="14"/>
  <c r="G48" i="13"/>
  <c r="G61" i="14"/>
  <c r="G2" i="13"/>
  <c r="G27" i="15"/>
  <c r="G30" i="14"/>
  <c r="G35" i="15"/>
  <c r="G39" i="14"/>
  <c r="G51" i="15"/>
  <c r="G5" i="14"/>
  <c r="G11" i="15"/>
  <c r="G39" i="15"/>
  <c r="G43" i="14"/>
  <c r="G30" i="15"/>
  <c r="G33" i="14"/>
  <c r="G64" i="15"/>
  <c r="G64" i="14"/>
  <c r="G44" i="15"/>
  <c r="G48" i="14"/>
  <c r="G53" i="15"/>
  <c r="G55" i="14"/>
  <c r="G17" i="15"/>
  <c r="G31" i="15"/>
  <c r="G35" i="14"/>
  <c r="G13" i="15"/>
  <c r="G29" i="15"/>
  <c r="G32" i="14"/>
  <c r="G13" i="7"/>
  <c r="G58" i="15"/>
  <c r="G66" i="7"/>
  <c r="G66" i="15"/>
  <c r="G36" i="7"/>
  <c r="G26" i="15"/>
  <c r="G12" i="7"/>
  <c r="G49" i="15"/>
  <c r="G49" i="7"/>
  <c r="G38" i="15"/>
  <c r="G21" i="7"/>
  <c r="G3" i="15"/>
  <c r="G63" i="7"/>
  <c r="G62" i="15"/>
  <c r="G24" i="7"/>
  <c r="G6" i="15"/>
  <c r="G17" i="7"/>
  <c r="G22" i="15"/>
  <c r="G19" i="7"/>
  <c r="G21" i="15"/>
  <c r="G25" i="7"/>
  <c r="G9" i="15"/>
  <c r="G34" i="7"/>
  <c r="G24" i="15"/>
  <c r="G60" i="7"/>
  <c r="G56" i="15"/>
  <c r="G46" i="15"/>
  <c r="G43" i="7"/>
  <c r="G32" i="15"/>
  <c r="G47" i="7"/>
  <c r="G36" i="15"/>
  <c r="G2" i="7"/>
  <c r="G60" i="15"/>
  <c r="G11" i="7"/>
  <c r="G61" i="15"/>
  <c r="G38" i="7"/>
  <c r="G28" i="15"/>
  <c r="G9" i="7"/>
  <c r="G45" i="15"/>
  <c r="G59" i="7"/>
  <c r="G55" i="15"/>
  <c r="G16" i="7"/>
  <c r="G50" i="15"/>
  <c r="G4" i="7"/>
  <c r="G14" i="15"/>
  <c r="G55" i="7"/>
  <c r="G47" i="15"/>
  <c r="G7" i="7"/>
  <c r="G65" i="15"/>
  <c r="G64" i="7"/>
  <c r="G63" i="15"/>
  <c r="G56" i="7"/>
  <c r="G48" i="15"/>
  <c r="G35" i="7"/>
  <c r="G25" i="15"/>
  <c r="G14" i="7"/>
  <c r="G10" i="15"/>
  <c r="G58" i="7"/>
  <c r="G52" i="15"/>
  <c r="G53" i="7"/>
  <c r="G42" i="15"/>
  <c r="G44" i="7"/>
  <c r="G33" i="15"/>
  <c r="G52" i="7"/>
  <c r="G41" i="15"/>
  <c r="G45" i="7"/>
  <c r="G34" i="15"/>
  <c r="G18" i="7"/>
  <c r="G54" i="15"/>
  <c r="G22" i="7"/>
  <c r="G4" i="15"/>
  <c r="G5" i="7"/>
  <c r="G15" i="15"/>
  <c r="G15" i="7"/>
  <c r="G8" i="15"/>
  <c r="G8" i="7"/>
  <c r="G7" i="15"/>
  <c r="G51" i="7"/>
  <c r="G40" i="15"/>
  <c r="G23" i="15"/>
  <c r="G5" i="15"/>
  <c r="G16" i="15"/>
  <c r="G41" i="7"/>
  <c r="G2" i="15"/>
  <c r="G3" i="7"/>
  <c r="G4" i="5"/>
  <c r="G42" i="7"/>
  <c r="G8" i="5"/>
  <c r="G39" i="7"/>
  <c r="G33" i="7"/>
  <c r="G28" i="7"/>
  <c r="G23" i="7"/>
  <c r="G64" i="5"/>
  <c r="G65" i="7"/>
  <c r="G11" i="5"/>
  <c r="G37" i="7"/>
  <c r="G35" i="5"/>
  <c r="G40" i="7"/>
  <c r="G10" i="5"/>
  <c r="G46" i="7"/>
  <c r="G3" i="5"/>
  <c r="G57" i="7"/>
  <c r="G41" i="5"/>
  <c r="G50" i="7"/>
  <c r="G23" i="5"/>
  <c r="G6" i="7"/>
  <c r="G48" i="5"/>
  <c r="G7" i="5"/>
  <c r="G29" i="7"/>
  <c r="G46" i="5"/>
  <c r="G10" i="7"/>
  <c r="G2" i="5"/>
  <c r="G26" i="7"/>
  <c r="G57" i="4"/>
  <c r="G55" i="5"/>
  <c r="G15" i="4"/>
  <c r="G21" i="5"/>
  <c r="G55" i="4"/>
  <c r="G52" i="5"/>
  <c r="G45" i="4"/>
  <c r="G44" i="5"/>
  <c r="G2" i="4"/>
  <c r="G38" i="5"/>
  <c r="G44" i="4"/>
  <c r="G43" i="5"/>
  <c r="G38" i="4"/>
  <c r="G39" i="5"/>
  <c r="G56" i="4"/>
  <c r="G54" i="5"/>
  <c r="G32" i="4"/>
  <c r="G11" i="4"/>
  <c r="G15" i="5"/>
  <c r="G20" i="4"/>
  <c r="G25" i="5"/>
  <c r="G14" i="4"/>
  <c r="G19" i="5"/>
  <c r="G9" i="4"/>
  <c r="G18" i="5"/>
  <c r="G43" i="4"/>
  <c r="G42" i="5"/>
  <c r="G26" i="5"/>
  <c r="G16" i="5"/>
  <c r="G31" i="5"/>
  <c r="G62" i="4"/>
  <c r="G60" i="5"/>
  <c r="G53" i="4"/>
  <c r="G51" i="5"/>
  <c r="G3" i="4"/>
  <c r="G53" i="5"/>
  <c r="G31" i="4"/>
  <c r="G22" i="4"/>
  <c r="G4" i="4"/>
  <c r="G65" i="5"/>
  <c r="G36" i="4"/>
  <c r="G37" i="5"/>
  <c r="G13" i="4"/>
  <c r="G20" i="5"/>
  <c r="G60" i="4"/>
  <c r="G58" i="5"/>
  <c r="G67" i="4"/>
  <c r="G66" i="5"/>
  <c r="G64" i="4"/>
  <c r="G63" i="5"/>
  <c r="G29" i="4"/>
  <c r="G33" i="5"/>
  <c r="G39" i="4"/>
  <c r="G12" i="5"/>
  <c r="G28" i="4"/>
  <c r="G32" i="5"/>
  <c r="G50" i="4"/>
  <c r="G49" i="5"/>
  <c r="G37" i="4"/>
  <c r="G30" i="4"/>
  <c r="G13" i="5"/>
  <c r="G52" i="4"/>
  <c r="G9" i="5"/>
  <c r="G41" i="4"/>
  <c r="G40" i="5"/>
  <c r="G10" i="4"/>
  <c r="G14" i="5"/>
  <c r="G65" i="4"/>
  <c r="G62" i="5"/>
  <c r="G54" i="4"/>
  <c r="G12" i="4"/>
  <c r="G17" i="5"/>
  <c r="G25" i="4"/>
  <c r="G30" i="5"/>
  <c r="G16" i="4"/>
  <c r="G26" i="4"/>
  <c r="G29" i="5"/>
  <c r="G63" i="4"/>
  <c r="G61" i="5"/>
  <c r="G33" i="4"/>
  <c r="G34" i="5"/>
  <c r="G47" i="4"/>
  <c r="G47" i="5"/>
  <c r="G19" i="4"/>
  <c r="G24" i="5"/>
  <c r="G51" i="4"/>
  <c r="G50" i="5"/>
  <c r="G58" i="4"/>
  <c r="G56" i="5"/>
  <c r="G7" i="4"/>
  <c r="G36" i="5"/>
  <c r="G65" i="6"/>
  <c r="G66" i="4"/>
  <c r="G46" i="6"/>
  <c r="G48" i="4"/>
  <c r="G34" i="6"/>
  <c r="G35" i="4"/>
  <c r="G15" i="6"/>
  <c r="G18" i="4"/>
  <c r="G41" i="6"/>
  <c r="G42" i="4"/>
  <c r="G5" i="4"/>
  <c r="G6" i="4"/>
  <c r="G21" i="4"/>
  <c r="G32" i="6"/>
  <c r="G34" i="4"/>
  <c r="G28" i="16"/>
  <c r="G28" i="6"/>
  <c r="G51" i="16"/>
  <c r="G51" i="6"/>
  <c r="G41" i="16"/>
  <c r="G40" i="6"/>
  <c r="G5" i="16"/>
  <c r="G5" i="6"/>
  <c r="G63" i="16"/>
  <c r="G63" i="6"/>
  <c r="G53" i="16"/>
  <c r="G53" i="6"/>
  <c r="G8" i="16"/>
  <c r="G8" i="6"/>
  <c r="G24" i="16"/>
  <c r="G24" i="6"/>
  <c r="G13" i="16"/>
  <c r="G13" i="6"/>
  <c r="G23" i="16"/>
  <c r="G23" i="6"/>
  <c r="G58" i="16"/>
  <c r="G57" i="6"/>
  <c r="G33" i="16"/>
  <c r="G33" i="6"/>
  <c r="G61" i="16"/>
  <c r="G61" i="6"/>
  <c r="G62" i="16"/>
  <c r="G62" i="6"/>
  <c r="G30" i="16"/>
  <c r="G30" i="6"/>
  <c r="G47" i="16"/>
  <c r="G47" i="6"/>
  <c r="G57" i="16"/>
  <c r="G3" i="6"/>
  <c r="G52" i="16"/>
  <c r="G52" i="6"/>
  <c r="G16" i="16"/>
  <c r="G16" i="6"/>
  <c r="G49" i="16"/>
  <c r="G49" i="6"/>
  <c r="G55" i="16"/>
  <c r="G55" i="6"/>
  <c r="G50" i="16"/>
  <c r="G50" i="6"/>
  <c r="G12" i="16"/>
  <c r="G12" i="6"/>
  <c r="G54" i="16"/>
  <c r="G54" i="6"/>
  <c r="G44" i="16"/>
  <c r="G44" i="6"/>
  <c r="G36" i="16"/>
  <c r="G2" i="6"/>
  <c r="G2" i="16"/>
  <c r="G43" i="6"/>
  <c r="G37" i="16"/>
  <c r="G36" i="6"/>
  <c r="G56" i="16"/>
  <c r="G56" i="6"/>
  <c r="G31" i="16"/>
  <c r="G31" i="6"/>
  <c r="G6" i="16"/>
  <c r="G6" i="6"/>
  <c r="G17" i="16"/>
  <c r="G17" i="6"/>
  <c r="G10" i="16"/>
  <c r="G10" i="6"/>
  <c r="G9" i="16"/>
  <c r="G9" i="6"/>
  <c r="G43" i="16"/>
  <c r="G42" i="6"/>
  <c r="G7" i="6"/>
  <c r="G25" i="6"/>
  <c r="G18" i="6"/>
  <c r="G29" i="16"/>
  <c r="G29" i="6"/>
  <c r="G19" i="16"/>
  <c r="G19" i="6"/>
  <c r="G65" i="16"/>
  <c r="G66" i="6"/>
  <c r="G35" i="16"/>
  <c r="G35" i="6"/>
  <c r="G11" i="16"/>
  <c r="G11" i="6"/>
  <c r="G4" i="16"/>
  <c r="G59" i="6"/>
  <c r="G66" i="16"/>
  <c r="G4" i="6"/>
  <c r="G64" i="16"/>
  <c r="G64" i="6"/>
  <c r="G27" i="16"/>
  <c r="G27" i="6"/>
  <c r="G39" i="16"/>
  <c r="G38" i="6"/>
  <c r="G26" i="16"/>
  <c r="G26" i="6"/>
  <c r="G38" i="16"/>
  <c r="G37" i="6"/>
  <c r="G32" i="17"/>
  <c r="G34" i="16"/>
  <c r="G7" i="16"/>
  <c r="G25" i="16"/>
  <c r="G18" i="16"/>
  <c r="G30" i="17"/>
  <c r="G32" i="16"/>
  <c r="G40" i="17"/>
  <c r="G42" i="16"/>
  <c r="G13" i="17"/>
  <c r="G15" i="16"/>
  <c r="G44" i="17"/>
  <c r="G46" i="16"/>
  <c r="G64" i="17"/>
  <c r="G3" i="16"/>
  <c r="G10" i="17"/>
  <c r="G52" i="17"/>
  <c r="G34" i="17"/>
  <c r="G42" i="17"/>
  <c r="G35" i="17"/>
  <c r="G54" i="17"/>
  <c r="G29" i="17"/>
  <c r="G4" i="17"/>
  <c r="G15" i="17"/>
  <c r="G8" i="17"/>
  <c r="G7" i="17"/>
  <c r="G41" i="17"/>
  <c r="G5" i="17"/>
  <c r="G16" i="17"/>
  <c r="G23" i="17"/>
  <c r="G27" i="17"/>
  <c r="G17" i="17"/>
  <c r="G65" i="17"/>
  <c r="G33" i="17"/>
  <c r="G9" i="17"/>
  <c r="G58" i="17"/>
  <c r="G66" i="17"/>
  <c r="G63" i="17"/>
  <c r="G25" i="17"/>
  <c r="G37" i="17"/>
  <c r="G24" i="17"/>
  <c r="G36" i="17"/>
  <c r="G26" i="17"/>
  <c r="G49" i="17"/>
  <c r="G39" i="17"/>
  <c r="G3" i="17"/>
  <c r="G62" i="17"/>
  <c r="G51" i="17"/>
  <c r="G6" i="17"/>
  <c r="G22" i="17"/>
  <c r="G11" i="17"/>
  <c r="G21" i="17"/>
  <c r="G56" i="17"/>
  <c r="G31" i="17"/>
  <c r="G60" i="17"/>
  <c r="G61" i="17"/>
  <c r="G28" i="17"/>
  <c r="G45" i="17"/>
  <c r="G55" i="17"/>
  <c r="G50" i="17"/>
  <c r="G14" i="17"/>
  <c r="G47" i="17"/>
  <c r="G53" i="17"/>
  <c r="G48" i="17"/>
  <c r="G2" i="17"/>
  <c r="G37" i="3"/>
  <c r="G23" i="3"/>
  <c r="G45" i="3"/>
  <c r="G64" i="3"/>
  <c r="G39" i="3"/>
  <c r="G42" i="3"/>
  <c r="G13" i="3"/>
  <c r="G31" i="3"/>
  <c r="G51" i="3"/>
  <c r="G3" i="3"/>
  <c r="G14" i="3"/>
  <c r="G9" i="3"/>
  <c r="G10" i="3"/>
  <c r="G16" i="3"/>
  <c r="G30" i="3"/>
  <c r="G21" i="3"/>
  <c r="G5" i="3"/>
  <c r="G57" i="3"/>
  <c r="G38" i="3"/>
  <c r="G61" i="3"/>
  <c r="G62" i="3"/>
  <c r="G35" i="3"/>
  <c r="G6" i="3"/>
  <c r="G56" i="3"/>
  <c r="G52" i="3"/>
  <c r="G24" i="3"/>
  <c r="G49" i="3"/>
  <c r="G54" i="3"/>
  <c r="G50" i="3"/>
  <c r="G20" i="3"/>
  <c r="G53" i="3"/>
  <c r="G7" i="3"/>
  <c r="G40" i="3"/>
  <c r="G46" i="3"/>
  <c r="G41" i="3"/>
  <c r="G55" i="3"/>
  <c r="G36" i="3"/>
  <c r="G15" i="3"/>
  <c r="G25" i="3"/>
  <c r="G18" i="3"/>
  <c r="G17" i="3"/>
  <c r="G11" i="3"/>
  <c r="G26" i="3"/>
  <c r="G34" i="3"/>
  <c r="G48" i="3"/>
  <c r="G27" i="3"/>
  <c r="G65" i="3"/>
  <c r="G8" i="3"/>
  <c r="G19" i="3"/>
  <c r="G59" i="3"/>
  <c r="G66" i="3"/>
  <c r="G63" i="3"/>
  <c r="G33" i="3"/>
  <c r="G43" i="3"/>
  <c r="G32" i="3"/>
  <c r="G4" i="3"/>
  <c r="H18" i="15"/>
  <c r="H23" i="4"/>
  <c r="H23" i="10"/>
  <c r="H18" i="17"/>
  <c r="H37" i="11"/>
  <c r="H30" i="7"/>
  <c r="H19" i="12"/>
  <c r="H20" i="6"/>
  <c r="H64" i="11"/>
  <c r="H24" i="13"/>
  <c r="H25" i="8"/>
  <c r="H31" i="10"/>
  <c r="H45" i="9"/>
  <c r="H42" i="4"/>
  <c r="H44" i="8"/>
  <c r="H43" i="10"/>
  <c r="H41" i="6"/>
  <c r="H42" i="16"/>
  <c r="H64" i="13"/>
  <c r="H36" i="7"/>
  <c r="H40" i="9"/>
  <c r="H37" i="7"/>
  <c r="H26" i="15"/>
  <c r="H32" i="17"/>
  <c r="H25" i="16"/>
  <c r="H50" i="7"/>
  <c r="H28" i="7"/>
  <c r="H65" i="7"/>
  <c r="H21" i="4"/>
  <c r="H30" i="4"/>
  <c r="H24" i="9"/>
  <c r="H41" i="11"/>
  <c r="H58" i="17"/>
  <c r="H58" i="9"/>
  <c r="H34" i="9"/>
  <c r="H30" i="8"/>
  <c r="H51" i="15"/>
  <c r="H51" i="9"/>
  <c r="H9" i="9"/>
  <c r="H62" i="17"/>
  <c r="H62" i="9"/>
  <c r="H6" i="9"/>
  <c r="H4" i="7"/>
  <c r="H15" i="9"/>
  <c r="H7" i="17"/>
  <c r="H8" i="9"/>
  <c r="H38" i="6"/>
  <c r="H37" i="9"/>
  <c r="H54" i="15"/>
  <c r="H54" i="9"/>
  <c r="H59" i="7"/>
  <c r="H55" i="9"/>
  <c r="H24" i="7"/>
  <c r="H7" i="9"/>
  <c r="H33" i="17"/>
  <c r="H33" i="9"/>
  <c r="H10" i="13"/>
  <c r="H5" i="9"/>
  <c r="H41" i="7"/>
  <c r="H31" i="9"/>
  <c r="H66" i="17"/>
  <c r="H66" i="9"/>
  <c r="H13" i="8"/>
  <c r="H4" i="9"/>
  <c r="H61" i="11"/>
  <c r="H61" i="9"/>
  <c r="H63" i="8"/>
  <c r="H63" i="9"/>
  <c r="H51" i="13"/>
  <c r="H50" i="9"/>
  <c r="H42" i="9"/>
  <c r="H56" i="17"/>
  <c r="H56" i="9"/>
  <c r="H53" i="17"/>
  <c r="H53" i="9"/>
  <c r="H65" i="17"/>
  <c r="H65" i="9"/>
  <c r="H33" i="7"/>
  <c r="H45" i="7"/>
  <c r="H35" i="9"/>
  <c r="H19" i="11"/>
  <c r="H14" i="12"/>
  <c r="H14" i="9"/>
  <c r="H48" i="17"/>
  <c r="H48" i="9"/>
  <c r="H26" i="9"/>
  <c r="H17" i="17"/>
  <c r="H2" i="9"/>
  <c r="H9" i="17"/>
  <c r="H10" i="9"/>
  <c r="H26" i="17"/>
  <c r="H2" i="13"/>
  <c r="H60" i="9"/>
  <c r="H41" i="17"/>
  <c r="H41" i="9"/>
  <c r="H52" i="11"/>
  <c r="H52" i="9"/>
  <c r="H38" i="7"/>
  <c r="H39" i="7"/>
  <c r="H26" i="12"/>
  <c r="H22" i="17"/>
  <c r="H24" i="17"/>
  <c r="H49" i="8"/>
  <c r="H41" i="4"/>
  <c r="H51" i="4"/>
  <c r="H49" i="12"/>
  <c r="H30" i="6"/>
  <c r="H29" i="12"/>
  <c r="H30" i="16"/>
  <c r="H50" i="13"/>
  <c r="H32" i="4"/>
  <c r="H31" i="16"/>
  <c r="H18" i="10"/>
  <c r="H50" i="16"/>
  <c r="H52" i="14"/>
  <c r="H31" i="4"/>
  <c r="H42" i="14"/>
  <c r="H15" i="8"/>
  <c r="H50" i="6"/>
  <c r="H32" i="14"/>
  <c r="H40" i="6"/>
  <c r="H48" i="15"/>
  <c r="H39" i="12"/>
  <c r="H30" i="12"/>
  <c r="H6" i="10"/>
  <c r="H39" i="17"/>
  <c r="H31" i="6"/>
  <c r="H38" i="15"/>
  <c r="H15" i="6"/>
  <c r="H41" i="16"/>
  <c r="H15" i="16"/>
  <c r="H40" i="13"/>
  <c r="H6" i="13"/>
  <c r="H18" i="11"/>
  <c r="H45" i="11"/>
  <c r="H49" i="7"/>
  <c r="H18" i="4"/>
  <c r="H29" i="15"/>
  <c r="H3" i="10"/>
  <c r="H21" i="11"/>
  <c r="H4" i="8"/>
  <c r="H36" i="8"/>
  <c r="H13" i="15"/>
  <c r="H16" i="15"/>
  <c r="H51" i="10"/>
  <c r="H20" i="8"/>
  <c r="H7" i="16"/>
  <c r="H19" i="13"/>
  <c r="H9" i="11"/>
  <c r="H48" i="11"/>
  <c r="H56" i="7"/>
  <c r="H31" i="14"/>
  <c r="H67" i="11"/>
  <c r="H38" i="4"/>
  <c r="H25" i="4"/>
  <c r="H66" i="6"/>
  <c r="H23" i="12"/>
  <c r="H36" i="6"/>
  <c r="H36" i="12"/>
  <c r="H38" i="14"/>
  <c r="H36" i="13"/>
  <c r="H39" i="10"/>
  <c r="H4" i="4"/>
  <c r="H24" i="16"/>
  <c r="H37" i="16"/>
  <c r="H34" i="15"/>
  <c r="H22" i="15"/>
  <c r="H28" i="15"/>
  <c r="H24" i="6"/>
  <c r="H65" i="14"/>
  <c r="H65" i="13"/>
  <c r="H65" i="15"/>
  <c r="H33" i="4"/>
  <c r="H65" i="16"/>
  <c r="H3" i="15"/>
  <c r="H56" i="11"/>
  <c r="H11" i="7"/>
  <c r="H60" i="7"/>
  <c r="H67" i="4"/>
  <c r="H53" i="10"/>
  <c r="H44" i="11"/>
  <c r="H66" i="8"/>
  <c r="H42" i="17"/>
  <c r="H53" i="4"/>
  <c r="H66" i="16"/>
  <c r="H43" i="13"/>
  <c r="H4" i="10"/>
  <c r="H17" i="7"/>
  <c r="H64" i="7"/>
  <c r="H4" i="6"/>
  <c r="H61" i="15"/>
  <c r="H54" i="14"/>
  <c r="H57" i="13"/>
  <c r="H66" i="13"/>
  <c r="H26" i="13"/>
  <c r="H32" i="13"/>
  <c r="H23" i="11"/>
  <c r="H35" i="17"/>
  <c r="H56" i="15"/>
  <c r="H65" i="12"/>
  <c r="H41" i="8"/>
  <c r="H29" i="8"/>
  <c r="H64" i="10"/>
  <c r="H7" i="7"/>
  <c r="H62" i="6"/>
  <c r="H64" i="16"/>
  <c r="H62" i="16"/>
  <c r="H28" i="12"/>
  <c r="H40" i="11"/>
  <c r="H33" i="10"/>
  <c r="H65" i="8"/>
  <c r="H3" i="17"/>
  <c r="H2" i="12"/>
  <c r="H66" i="10"/>
  <c r="H27" i="10"/>
  <c r="H64" i="4"/>
  <c r="H63" i="4"/>
  <c r="H52" i="6"/>
  <c r="H3" i="14"/>
  <c r="H50" i="15"/>
  <c r="H6" i="14"/>
  <c r="H66" i="12"/>
  <c r="H42" i="12"/>
  <c r="H7" i="10"/>
  <c r="H50" i="11"/>
  <c r="H56" i="8"/>
  <c r="H63" i="17"/>
  <c r="H61" i="17"/>
  <c r="H58" i="4"/>
  <c r="H44" i="4"/>
  <c r="H5" i="6"/>
  <c r="H63" i="14"/>
  <c r="H61" i="13"/>
  <c r="H65" i="11"/>
  <c r="H61" i="8"/>
  <c r="H46" i="8"/>
  <c r="H52" i="7"/>
  <c r="H21" i="7"/>
  <c r="H43" i="6"/>
  <c r="H64" i="6"/>
  <c r="H52" i="16"/>
  <c r="H63" i="15"/>
  <c r="H50" i="17"/>
  <c r="H58" i="16"/>
  <c r="H66" i="14"/>
  <c r="H63" i="12"/>
  <c r="H10" i="8"/>
  <c r="H16" i="7"/>
  <c r="H66" i="7"/>
  <c r="H5" i="4"/>
  <c r="H57" i="6"/>
  <c r="H2" i="16"/>
  <c r="H66" i="15"/>
  <c r="H45" i="14"/>
  <c r="H3" i="12"/>
  <c r="H63" i="13"/>
  <c r="H51" i="12"/>
  <c r="H62" i="10"/>
  <c r="H45" i="10"/>
  <c r="H8" i="10"/>
  <c r="H10" i="4"/>
  <c r="H5" i="16"/>
  <c r="H62" i="14"/>
  <c r="H41" i="15"/>
  <c r="H57" i="12"/>
  <c r="H9" i="13"/>
  <c r="H12" i="11"/>
  <c r="H56" i="10"/>
  <c r="H35" i="8"/>
  <c r="H9" i="16"/>
  <c r="H7" i="15"/>
  <c r="H9" i="6"/>
  <c r="H16" i="6"/>
  <c r="H62" i="15"/>
  <c r="H12" i="10"/>
  <c r="H16" i="8"/>
  <c r="H8" i="7"/>
  <c r="H27" i="11"/>
  <c r="H8" i="12"/>
  <c r="H9" i="4"/>
  <c r="H13" i="13"/>
  <c r="H19" i="10"/>
  <c r="H15" i="7"/>
  <c r="H14" i="13"/>
  <c r="H5" i="8"/>
  <c r="H35" i="16"/>
  <c r="H4" i="14"/>
  <c r="H31" i="13"/>
  <c r="H54" i="4"/>
  <c r="H62" i="13"/>
  <c r="H55" i="13"/>
  <c r="H51" i="11"/>
  <c r="H10" i="16"/>
  <c r="H56" i="6"/>
  <c r="H5" i="10"/>
  <c r="H12" i="4"/>
  <c r="H51" i="8"/>
  <c r="H35" i="13"/>
  <c r="H27" i="17"/>
  <c r="H12" i="13"/>
  <c r="H34" i="12"/>
  <c r="H57" i="14"/>
  <c r="H11" i="10"/>
  <c r="H54" i="11"/>
  <c r="H6" i="17"/>
  <c r="H55" i="15"/>
  <c r="H55" i="8"/>
  <c r="H55" i="12"/>
  <c r="H29" i="17"/>
  <c r="H57" i="7"/>
  <c r="H18" i="7"/>
  <c r="H5" i="13"/>
  <c r="H11" i="12"/>
  <c r="H49" i="15"/>
  <c r="H3" i="8"/>
  <c r="H28" i="17"/>
  <c r="H34" i="7"/>
  <c r="H8" i="6"/>
  <c r="H10" i="6"/>
  <c r="H53" i="16"/>
  <c r="H36" i="14"/>
  <c r="H52" i="12"/>
  <c r="H56" i="13"/>
  <c r="H20" i="13"/>
  <c r="H13" i="10"/>
  <c r="H37" i="10"/>
  <c r="H17" i="8"/>
  <c r="H54" i="8"/>
  <c r="H21" i="8"/>
  <c r="H43" i="7"/>
  <c r="H63" i="7"/>
  <c r="H28" i="6"/>
  <c r="H63" i="16"/>
  <c r="H6" i="15"/>
  <c r="H32" i="15"/>
  <c r="H62" i="12"/>
  <c r="H52" i="13"/>
  <c r="H7" i="12"/>
  <c r="H9" i="12"/>
  <c r="H6" i="11"/>
  <c r="H29" i="11"/>
  <c r="H32" i="10"/>
  <c r="H53" i="11"/>
  <c r="H40" i="8"/>
  <c r="H51" i="17"/>
  <c r="H8" i="17"/>
  <c r="H54" i="17"/>
  <c r="H63" i="10"/>
  <c r="H36" i="4"/>
  <c r="H8" i="16"/>
  <c r="H57" i="16"/>
  <c r="H16" i="16"/>
  <c r="H8" i="15"/>
  <c r="H63" i="11"/>
  <c r="H28" i="11"/>
  <c r="H14" i="4"/>
  <c r="H56" i="4"/>
  <c r="H19" i="4"/>
  <c r="H57" i="4"/>
  <c r="H63" i="6"/>
  <c r="H53" i="6"/>
  <c r="H3" i="6"/>
  <c r="H5" i="14"/>
  <c r="H56" i="14"/>
  <c r="H57" i="10"/>
  <c r="H62" i="8"/>
  <c r="H33" i="8"/>
  <c r="H55" i="17"/>
  <c r="H14" i="17"/>
  <c r="H65" i="4"/>
  <c r="H35" i="6"/>
  <c r="H56" i="16"/>
  <c r="H14" i="15"/>
  <c r="H56" i="12"/>
  <c r="H15" i="12"/>
  <c r="H55" i="11"/>
  <c r="H44" i="15"/>
  <c r="H35" i="11"/>
  <c r="H36" i="16"/>
  <c r="H4" i="16"/>
  <c r="H34" i="17"/>
  <c r="H2" i="6"/>
  <c r="H55" i="6"/>
  <c r="H47" i="17"/>
  <c r="H15" i="13"/>
  <c r="H10" i="10"/>
  <c r="H53" i="15"/>
  <c r="H4" i="11"/>
  <c r="H29" i="10"/>
  <c r="H26" i="6"/>
  <c r="H43" i="16"/>
  <c r="H35" i="4"/>
  <c r="H22" i="13"/>
  <c r="H62" i="4"/>
  <c r="H61" i="6"/>
  <c r="H16" i="11"/>
  <c r="H61" i="10"/>
  <c r="H44" i="10"/>
  <c r="H50" i="4"/>
  <c r="H9" i="15"/>
  <c r="H60" i="11"/>
  <c r="H11" i="6"/>
  <c r="H48" i="12"/>
  <c r="H61" i="12"/>
  <c r="H23" i="8"/>
  <c r="H13" i="4"/>
  <c r="H49" i="13"/>
  <c r="H60" i="17"/>
  <c r="H23" i="6"/>
  <c r="H11" i="16"/>
  <c r="H49" i="16"/>
  <c r="H51" i="14"/>
  <c r="H49" i="6"/>
  <c r="H47" i="15"/>
  <c r="H61" i="14"/>
  <c r="H5" i="15"/>
  <c r="H26" i="10"/>
  <c r="H60" i="8"/>
  <c r="H61" i="16"/>
  <c r="H60" i="15"/>
  <c r="H2" i="14"/>
  <c r="H10" i="12"/>
  <c r="H46" i="6"/>
  <c r="H46" i="16"/>
  <c r="H58" i="15"/>
  <c r="H59" i="12"/>
  <c r="H29" i="13"/>
  <c r="H13" i="7"/>
  <c r="H29" i="4"/>
  <c r="H53" i="14"/>
  <c r="H48" i="14"/>
  <c r="H50" i="12"/>
  <c r="H59" i="13"/>
  <c r="H52" i="10"/>
  <c r="H49" i="17"/>
  <c r="H12" i="7"/>
  <c r="H27" i="16"/>
  <c r="H30" i="10"/>
  <c r="H32" i="8"/>
  <c r="H44" i="17"/>
  <c r="H44" i="7"/>
  <c r="H51" i="16"/>
  <c r="H59" i="10"/>
  <c r="H42" i="11"/>
  <c r="H58" i="8"/>
  <c r="H10" i="7"/>
  <c r="H60" i="4"/>
  <c r="H48" i="4"/>
  <c r="H66" i="4"/>
  <c r="H52" i="4"/>
  <c r="H27" i="6"/>
  <c r="H37" i="14"/>
  <c r="H35" i="12"/>
  <c r="H45" i="12"/>
  <c r="H38" i="10"/>
  <c r="H58" i="11"/>
  <c r="H25" i="17"/>
  <c r="H51" i="6"/>
  <c r="H33" i="15"/>
  <c r="H25" i="15"/>
  <c r="H7" i="13"/>
  <c r="H46" i="13"/>
  <c r="H47" i="10"/>
  <c r="H50" i="8"/>
  <c r="H7" i="8"/>
  <c r="H35" i="7"/>
  <c r="H59" i="6"/>
  <c r="H59" i="14"/>
  <c r="H62" i="11"/>
  <c r="H50" i="10"/>
  <c r="H55" i="7"/>
  <c r="H2" i="7"/>
  <c r="H51" i="7"/>
  <c r="H14" i="10"/>
  <c r="H68" i="11"/>
  <c r="H30" i="11"/>
  <c r="H9" i="8"/>
  <c r="H48" i="8"/>
  <c r="H20" i="11"/>
  <c r="H15" i="4"/>
  <c r="H7" i="14"/>
  <c r="H52" i="15"/>
  <c r="H54" i="13"/>
  <c r="H22" i="12"/>
  <c r="H16" i="13"/>
  <c r="H39" i="11"/>
  <c r="H14" i="8"/>
  <c r="H52" i="8"/>
  <c r="H4" i="17"/>
  <c r="H11" i="4"/>
  <c r="H55" i="4"/>
  <c r="H42" i="6"/>
  <c r="H23" i="16"/>
  <c r="H4" i="15"/>
  <c r="H44" i="14"/>
  <c r="H55" i="14"/>
  <c r="H3" i="13"/>
  <c r="H15" i="10"/>
  <c r="H22" i="7"/>
  <c r="H12" i="6"/>
  <c r="H24" i="15"/>
  <c r="H40" i="15"/>
  <c r="H43" i="11"/>
  <c r="H31" i="11"/>
  <c r="H55" i="10"/>
  <c r="H31" i="8"/>
  <c r="H45" i="8"/>
  <c r="H16" i="17"/>
  <c r="H10" i="17"/>
  <c r="H13" i="17"/>
  <c r="H3" i="4"/>
  <c r="H6" i="6"/>
  <c r="H6" i="16"/>
  <c r="H17" i="12"/>
  <c r="H53" i="12"/>
  <c r="H9" i="10"/>
  <c r="H23" i="7"/>
  <c r="H14" i="7"/>
  <c r="H6" i="7"/>
  <c r="H43" i="4"/>
  <c r="H55" i="16"/>
  <c r="H54" i="16"/>
  <c r="H53" i="8"/>
  <c r="H10" i="15"/>
  <c r="H5" i="12"/>
  <c r="H53" i="13"/>
  <c r="H28" i="8"/>
  <c r="H18" i="8"/>
  <c r="H21" i="17"/>
  <c r="H52" i="17"/>
  <c r="H3" i="7"/>
  <c r="H26" i="4"/>
  <c r="H54" i="6"/>
  <c r="H12" i="16"/>
  <c r="H21" i="15"/>
  <c r="H25" i="12"/>
  <c r="H41" i="12"/>
  <c r="H54" i="10"/>
  <c r="H19" i="7"/>
  <c r="H58" i="7"/>
  <c r="H28" i="4"/>
  <c r="H26" i="16"/>
  <c r="H28" i="13"/>
  <c r="H42" i="13"/>
  <c r="H54" i="12"/>
  <c r="H25" i="7"/>
  <c r="H22" i="11"/>
  <c r="H33" i="11"/>
  <c r="H32" i="11"/>
  <c r="H2" i="15"/>
  <c r="H32" i="12"/>
  <c r="H34" i="13"/>
  <c r="H38" i="8"/>
  <c r="H33" i="6"/>
  <c r="H125" i="8"/>
  <c r="H33" i="16"/>
  <c r="H39" i="16"/>
  <c r="H25" i="6"/>
  <c r="H37" i="17"/>
  <c r="H31" i="17"/>
  <c r="H23" i="13"/>
  <c r="H40" i="7"/>
  <c r="H30" i="17"/>
  <c r="H53" i="7"/>
  <c r="H42" i="7"/>
  <c r="H38" i="17"/>
  <c r="H23" i="17"/>
  <c r="H48" i="7"/>
  <c r="H64" i="17"/>
  <c r="H9" i="7"/>
  <c r="H45" i="17"/>
  <c r="H5" i="17"/>
  <c r="H26" i="7"/>
  <c r="H11" i="17"/>
  <c r="H54" i="7"/>
  <c r="H43" i="17"/>
  <c r="H46" i="17"/>
  <c r="H62" i="7"/>
  <c r="H59" i="17"/>
  <c r="H22" i="8"/>
  <c r="H15" i="17"/>
  <c r="H46" i="7"/>
  <c r="H36" i="17"/>
  <c r="H22" i="4"/>
  <c r="H21" i="10"/>
  <c r="H17" i="15"/>
  <c r="H24" i="11"/>
  <c r="H64" i="12"/>
  <c r="H34" i="16"/>
  <c r="H64" i="14"/>
  <c r="H36" i="10"/>
  <c r="H37" i="15"/>
  <c r="H39" i="8"/>
  <c r="H10" i="11"/>
  <c r="H17" i="6"/>
  <c r="H15" i="15"/>
  <c r="H21" i="13"/>
  <c r="H16" i="12"/>
  <c r="H20" i="10"/>
  <c r="H5" i="7"/>
  <c r="H20" i="4"/>
  <c r="H17" i="16"/>
  <c r="H42" i="8"/>
  <c r="H36" i="15"/>
  <c r="H26" i="11"/>
  <c r="H47" i="7"/>
  <c r="H38" i="13"/>
  <c r="H30" i="14"/>
  <c r="H34" i="14"/>
  <c r="H28" i="10"/>
  <c r="H35" i="10"/>
  <c r="H29" i="7"/>
  <c r="H37" i="8"/>
  <c r="H6" i="8"/>
  <c r="H43" i="8"/>
  <c r="H8" i="8"/>
  <c r="H12" i="9"/>
  <c r="H2" i="8"/>
  <c r="H24" i="8"/>
  <c r="H47" i="8"/>
  <c r="H12" i="8"/>
  <c r="H11" i="8"/>
  <c r="H59" i="8"/>
  <c r="H34" i="8"/>
  <c r="H64" i="8"/>
  <c r="H48" i="10"/>
  <c r="H16" i="10"/>
  <c r="H22" i="10"/>
  <c r="H25" i="11"/>
  <c r="H2" i="10"/>
  <c r="H14" i="11"/>
  <c r="H36" i="11"/>
  <c r="H13" i="11"/>
  <c r="H46" i="10"/>
  <c r="H59" i="11"/>
  <c r="H60" i="10"/>
  <c r="H47" i="11"/>
  <c r="H5" i="11"/>
  <c r="H8" i="11"/>
  <c r="H34" i="10"/>
  <c r="H66" i="11"/>
  <c r="H65" i="10"/>
  <c r="H40" i="10"/>
  <c r="H40" i="12"/>
  <c r="H18" i="12"/>
  <c r="H47" i="13"/>
  <c r="H46" i="12"/>
  <c r="H44" i="13"/>
  <c r="H43" i="12"/>
  <c r="H45" i="13"/>
  <c r="H44" i="12"/>
  <c r="H8" i="13"/>
  <c r="H33" i="12"/>
  <c r="H60" i="13"/>
  <c r="H60" i="12"/>
  <c r="H30" i="13"/>
  <c r="H33" i="13"/>
  <c r="H31" i="12"/>
  <c r="H27" i="12"/>
  <c r="H41" i="13"/>
  <c r="H17" i="13"/>
  <c r="H12" i="12"/>
  <c r="H37" i="13"/>
  <c r="H4" i="12"/>
  <c r="H23" i="15"/>
  <c r="H42" i="15"/>
  <c r="H46" i="14"/>
  <c r="H45" i="15"/>
  <c r="H49" i="14"/>
  <c r="H40" i="14"/>
  <c r="H35" i="14"/>
  <c r="H59" i="15"/>
  <c r="H60" i="14"/>
  <c r="H30" i="15"/>
  <c r="H33" i="14"/>
  <c r="H29" i="14"/>
  <c r="H43" i="15"/>
  <c r="H47" i="14"/>
  <c r="H27" i="15"/>
  <c r="H31" i="15"/>
  <c r="H11" i="15"/>
  <c r="H35" i="15"/>
  <c r="H39" i="14"/>
  <c r="H64" i="15"/>
  <c r="H43" i="14"/>
  <c r="H32" i="16"/>
  <c r="H45" i="16"/>
  <c r="H48" i="16"/>
  <c r="H19" i="16"/>
  <c r="H28" i="16"/>
  <c r="H13" i="16"/>
  <c r="H60" i="16"/>
  <c r="H44" i="16"/>
  <c r="H38" i="16"/>
  <c r="H47" i="16"/>
  <c r="H18" i="16"/>
  <c r="H19" i="6"/>
  <c r="H29" i="16"/>
  <c r="H45" i="6"/>
  <c r="H37" i="6"/>
  <c r="H48" i="6"/>
  <c r="H18" i="6"/>
  <c r="H29" i="6"/>
  <c r="H34" i="6"/>
  <c r="H32" i="6"/>
  <c r="H65" i="6"/>
  <c r="H44" i="6"/>
  <c r="H7" i="6"/>
  <c r="H13" i="6"/>
  <c r="H60" i="6"/>
  <c r="H47" i="6"/>
  <c r="H39" i="4"/>
  <c r="H47" i="4"/>
  <c r="H46" i="4"/>
  <c r="H34" i="4"/>
  <c r="H40" i="4"/>
  <c r="H16" i="4"/>
  <c r="H49" i="4"/>
  <c r="H6" i="4"/>
  <c r="H45" i="4"/>
  <c r="H37" i="4"/>
  <c r="H7" i="4"/>
  <c r="H61" i="4"/>
  <c r="H41" i="10" l="1"/>
  <c r="H37" i="12"/>
  <c r="H40" i="17"/>
  <c r="A3" i="16"/>
  <c r="A63" i="16"/>
  <c r="A49" i="16"/>
  <c r="A37" i="16"/>
  <c r="A6" i="16"/>
  <c r="A8" i="16"/>
  <c r="A7" i="16"/>
  <c r="A28" i="16"/>
  <c r="A5" i="16"/>
  <c r="A2" i="16"/>
  <c r="A56" i="16"/>
  <c r="A9" i="16"/>
  <c r="A55" i="16"/>
  <c r="A12" i="16"/>
  <c r="A58" i="16"/>
  <c r="A15" i="16"/>
  <c r="A66" i="16"/>
  <c r="A22" i="16"/>
  <c r="A21" i="16"/>
  <c r="A40" i="16"/>
  <c r="A13" i="16"/>
  <c r="A31" i="16"/>
  <c r="A48" i="16"/>
  <c r="A65" i="16"/>
  <c r="A50" i="16"/>
  <c r="A59" i="16"/>
  <c r="A34" i="16"/>
  <c r="A43" i="16"/>
  <c r="A11" i="16"/>
  <c r="A39" i="16"/>
  <c r="A20" i="16"/>
  <c r="A16" i="16"/>
  <c r="A51" i="16"/>
  <c r="A14" i="16"/>
  <c r="A53" i="16"/>
  <c r="A27" i="16"/>
  <c r="A4" i="16"/>
  <c r="A41" i="16"/>
  <c r="A54" i="16"/>
  <c r="A46" i="16"/>
  <c r="A30" i="16"/>
  <c r="A33" i="16"/>
  <c r="A17" i="16"/>
  <c r="A44" i="16"/>
  <c r="A32" i="16"/>
  <c r="A10" i="16"/>
  <c r="A36" i="16"/>
  <c r="A57" i="16"/>
  <c r="A61" i="16"/>
  <c r="A62" i="16"/>
  <c r="A64" i="16"/>
  <c r="A52" i="16"/>
  <c r="A2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dion stead</author>
    <author>Dion Stead</author>
  </authors>
  <commentList>
    <comment ref="L2" authorId="0" shapeId="0" xr:uid="{C319E100-6D2E-4986-B253-E69624520A0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SAPSA HG
</t>
        </r>
      </text>
    </comment>
    <comment ref="M2" authorId="0" shapeId="0" xr:uid="{179D9E44-7DB7-4793-B4DE-0813F2CB701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N2" authorId="0" shapeId="0" xr:uid="{C2F25F1A-A580-4668-B796-9379F45FBB5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2" authorId="0" shapeId="0" xr:uid="{1A6501A2-F4FC-47BF-99A4-905B6C24BBC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P2" authorId="0" shapeId="0" xr:uid="{72C39B32-83F4-46B2-B7F1-43B153B1D5C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Q2" authorId="0" shapeId="0" xr:uid="{AD7595F5-8F98-41E1-908B-63E3CF62869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R2" authorId="1" shapeId="0" xr:uid="{FBEA4624-177E-4CB8-B08E-7545E006A08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2" authorId="1" shapeId="0" xr:uid="{DC4870EC-EFCC-4B58-B335-647D2E93FC3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T2" authorId="1" shapeId="0" xr:uid="{4D0E929E-1F83-4C73-BF4B-58BE5138B861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Africa area</t>
        </r>
      </text>
    </comment>
    <comment ref="L3" authorId="0" shapeId="0" xr:uid="{949AB8B3-3407-46C5-82AE-6AEDC1D0286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SAPSA HG</t>
        </r>
      </text>
    </comment>
    <comment ref="O3" authorId="0" shapeId="0" xr:uid="{A3893784-37F4-4726-A3A4-C16E1B22A02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4" authorId="0" shapeId="0" xr:uid="{9169ABDB-AD5A-47A7-9013-85658158D00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U4" authorId="1" shapeId="0" xr:uid="{BABB430F-04AE-41BE-B5A6-019FD20D3711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L5" authorId="0" shapeId="0" xr:uid="{9270071B-24A3-4C00-9D97-0DD84D36188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N5" authorId="0" shapeId="0" xr:uid="{4E55B10E-A4DD-4498-AF81-790500D9763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5" authorId="0" shapeId="0" xr:uid="{92B03262-74BA-4F7F-BD34-C41BCA5CF16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Q5" authorId="0" shapeId="0" xr:uid="{E3BBABA3-C004-4F23-88B4-CFE5AFAC768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Q7" authorId="0" shapeId="0" xr:uid="{BF2988C4-7CDB-47DA-AFC5-09E13D95A50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
</t>
        </r>
      </text>
    </comment>
    <comment ref="L8" authorId="0" shapeId="0" xr:uid="{7CE26154-F991-4DD8-93DF-51849DAC05F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SAPSA HG</t>
        </r>
      </text>
    </comment>
    <comment ref="O8" authorId="0" shapeId="0" xr:uid="{C40C79BE-257B-4384-8B03-9311B150934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T8" authorId="1" shapeId="0" xr:uid="{8087BB9B-415A-482D-8C39-6BCF1D463508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Africa area</t>
        </r>
      </text>
    </comment>
    <comment ref="U9" authorId="1" shapeId="0" xr:uid="{CE159247-B606-4C71-B883-F1B49E6D297C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R10" authorId="1" shapeId="0" xr:uid="{A0E87994-4425-4C49-A349-85FF3DB16FD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10" authorId="1" shapeId="0" xr:uid="{F1347E0F-F45C-42E2-87E0-F1183B2460F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O11" authorId="0" shapeId="0" xr:uid="{6967206F-F7E1-45D2-9E05-E1D3E2F31C7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U11" authorId="1" shapeId="0" xr:uid="{00ABCCFE-62D8-4CD9-92AB-BEF8D0DB0E60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P12" authorId="0" shapeId="0" xr:uid="{52A696E9-39EB-4D39-B05B-1634D09A78C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Q12" authorId="0" shapeId="0" xr:uid="{4EFB2461-6602-497D-92A5-CEC156DD7CD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R12" authorId="1" shapeId="0" xr:uid="{6223CD7B-B087-48BA-92B5-C1838424DBB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U12" authorId="1" shapeId="0" xr:uid="{CC202E7B-F447-4017-84DA-1ED9414A4492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N13" authorId="0" shapeId="0" xr:uid="{9DDF6344-000C-4CF1-8DEA-CCF111F889E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13" authorId="0" shapeId="0" xr:uid="{EB6FE2DE-34F6-492D-A6B3-F1465B387C7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P13" authorId="0" shapeId="0" xr:uid="{A4ADAE52-6F86-4754-B625-A68B1178FAF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Q13" authorId="0" shapeId="0" xr:uid="{1A29CC65-5563-4DCB-8B79-66CD2765C7F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U13" authorId="1" shapeId="0" xr:uid="{3B6746B7-7F58-46C6-9F18-C9530E699E86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L15" authorId="0" shapeId="0" xr:uid="{444BB916-F6A3-47EE-A74F-8810A0C2C59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U15" authorId="1" shapeId="0" xr:uid="{23755B21-5F16-42DF-87D4-E5DC01A2E9C8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L16" authorId="0" shapeId="0" xr:uid="{C621CC1A-DD6D-42A2-B2B7-ECDEEB881138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SAPSA HG</t>
        </r>
      </text>
    </comment>
    <comment ref="M16" authorId="0" shapeId="0" xr:uid="{9FEA8DC2-AA40-4F26-A1C2-C6DEC670EAB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N16" authorId="0" shapeId="0" xr:uid="{9F2B7E7A-161D-4F54-8F26-BE97F592AA1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16" authorId="0" shapeId="0" xr:uid="{8589434D-32B2-4CCB-B9F6-837C49F9E12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P16" authorId="0" shapeId="0" xr:uid="{5DC29E16-6965-47B4-B611-A00A779F440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Q16" authorId="0" shapeId="0" xr:uid="{54EB7705-F7CF-43AF-8189-7605ED62748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S16" authorId="1" shapeId="0" xr:uid="{C8E326F7-E570-4362-AC8D-5DD5CC2487F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L17" authorId="0" shapeId="0" xr:uid="{B8D99594-7B0E-4BAD-87AF-78A9AC4F845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N17" authorId="0" shapeId="0" xr:uid="{19E31D52-83D9-4188-A077-12C21FBD662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17" authorId="0" shapeId="0" xr:uid="{CE87855A-D948-4FDA-A977-A816760CDF3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U17" authorId="1" shapeId="0" xr:uid="{7BB64487-DD4D-4C66-B26E-A5768D19648C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Q18" authorId="0" shapeId="0" xr:uid="{E80CE126-FCD8-412F-9DA4-38E5B2F7936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
</t>
        </r>
      </text>
    </comment>
    <comment ref="Q19" authorId="0" shapeId="0" xr:uid="{1F4620DF-8F7F-42DA-AB9D-72FAD9AF939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
SG Nats</t>
        </r>
      </text>
    </comment>
    <comment ref="K22" authorId="0" shapeId="0" xr:uid="{59D26940-A7A3-4457-9F04-23F7F6D348B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PCC League</t>
        </r>
      </text>
    </comment>
    <comment ref="L22" authorId="0" shapeId="0" xr:uid="{31B41D72-0932-4AF3-8766-CAD800D57B1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M22" authorId="0" shapeId="0" xr:uid="{0949CAA8-E8AC-45F7-89C1-AEFC5BAB48B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N22" authorId="0" shapeId="0" xr:uid="{3322C9EB-2434-44C4-88F7-DB557DCA9E1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22" authorId="0" shapeId="0" xr:uid="{7FF475C6-C468-47E3-9484-ECDF1F981D0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P22" authorId="0" shapeId="0" xr:uid="{35BE88CC-D16C-4C4A-ADF3-0FD894C2851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U22" authorId="1" shapeId="0" xr:uid="{9A0102EA-49F5-42C6-B33F-A635DEA701B4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O23" authorId="0" shapeId="0" xr:uid="{83472924-9B6C-4969-817E-C9544039ED0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P23" authorId="0" shapeId="0" xr:uid="{9F67C031-93F2-443B-A31D-EEB5CEF35A4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M24" authorId="0" shapeId="0" xr:uid="{85889E8D-0DDE-4F6E-904E-DFFFDAA27D9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U27" authorId="1" shapeId="0" xr:uid="{BCC9EEB9-5532-4D72-8ED2-45B5AD719047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U29" authorId="1" shapeId="0" xr:uid="{36FDB60A-1A2C-4082-AE43-41A8ECD260AD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K31" authorId="0" shapeId="0" xr:uid="{0C3B5DEA-D31C-42AB-A2C2-7C68D35E751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Rifle league</t>
        </r>
      </text>
    </comment>
    <comment ref="S31" authorId="1" shapeId="0" xr:uid="{8DE53772-9A9D-4D43-BEF1-9389EF6AB77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Q32" authorId="0" shapeId="0" xr:uid="{9848ABD6-7E4C-495B-A9F1-61317282B833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
</t>
        </r>
      </text>
    </comment>
    <comment ref="U32" authorId="1" shapeId="0" xr:uid="{322D186F-D6C8-484B-8689-6D3BCD569DD9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L33" authorId="0" shapeId="0" xr:uid="{3B0036A1-1112-4B58-8FE5-0C2E2F2858F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SAPSA HG</t>
        </r>
      </text>
    </comment>
    <comment ref="O33" authorId="0" shapeId="0" xr:uid="{3402F991-54D4-4B39-886D-F3C9B86FC1F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T33" authorId="1" shapeId="0" xr:uid="{BA361144-A0E9-4C39-A4F7-C4EC73B2FFEB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Africa area</t>
        </r>
      </text>
    </comment>
    <comment ref="K34" authorId="0" shapeId="0" xr:uid="{6F93D543-D330-4D03-8539-19BC990A44D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Rifle league</t>
        </r>
      </text>
    </comment>
    <comment ref="L34" authorId="0" shapeId="0" xr:uid="{9C32D21D-FA48-4171-9930-A037336452E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M34" authorId="0" shapeId="0" xr:uid="{D09879EB-FAFA-412B-B9ED-5AC94C5D899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N34" authorId="0" shapeId="0" xr:uid="{7DB38378-02DC-48BB-9244-4CD27F7E82B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Rifle</t>
        </r>
      </text>
    </comment>
    <comment ref="U35" authorId="1" shapeId="0" xr:uid="{6CF6BBF3-3BB6-4D8A-804F-BEE4FC5239EA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N36" authorId="0" shapeId="0" xr:uid="{A28EF720-5A10-4AAD-86C0-DF33A9F7780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Rifle</t>
        </r>
      </text>
    </comment>
    <comment ref="K37" authorId="0" shapeId="0" xr:uid="{B269515E-5947-47FF-BE23-E88FA3E27B2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Rifle league</t>
        </r>
      </text>
    </comment>
    <comment ref="N37" authorId="0" shapeId="0" xr:uid="{81CDD06F-3B92-4A5B-A9F5-21C9E2DA01FF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Rifle</t>
        </r>
      </text>
    </comment>
    <comment ref="L38" authorId="0" shapeId="0" xr:uid="{F40847EA-A8BE-4288-B50E-0DF838A9426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M38" authorId="0" shapeId="0" xr:uid="{0C997D28-87B7-49A9-92CD-CC6F112EFD2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O38" authorId="0" shapeId="0" xr:uid="{C0F959FA-80B3-45F7-8701-F0A3873AE85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K42" authorId="0" shapeId="0" xr:uid="{84942747-FCF5-430B-BF3B-5080DD5F94F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PCC League</t>
        </r>
      </text>
    </comment>
    <comment ref="L42" authorId="0" shapeId="0" xr:uid="{4C053671-16F5-4225-879E-561FDF6BF9D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M42" authorId="0" shapeId="0" xr:uid="{C91F2A65-00B9-4803-8E87-CDE4F97F796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N42" authorId="0" shapeId="0" xr:uid="{515F2F2D-B2BE-42AF-8796-FDB4F9C9664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42" authorId="0" shapeId="0" xr:uid="{3270265D-5809-4076-AED3-45DC12D57FF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S42" authorId="1" shapeId="0" xr:uid="{4AF59F59-942C-4D4C-ACF1-066FF807805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U42" authorId="1" shapeId="0" xr:uid="{BFC34CC8-5AA0-4D80-92D2-C53F7974E3EB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L45" authorId="0" shapeId="0" xr:uid="{168D7530-0828-48C6-9D1B-1ADA55C2C35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M45" authorId="0" shapeId="0" xr:uid="{4F94CAEA-648E-4077-A95E-B71E943DE25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O45" authorId="0" shapeId="0" xr:uid="{4AE228D9-9422-4E95-9543-A666E4ACF3F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U45" authorId="1" shapeId="0" xr:uid="{4E259073-90CB-4852-AFA6-00A15182CB04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L46" authorId="0" shapeId="0" xr:uid="{F11C1D78-F370-4F9D-B34A-7C44EA60380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M46" authorId="0" shapeId="0" xr:uid="{06186F7A-7E00-4876-BCDE-B6E566093A5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N46" authorId="0" shapeId="0" xr:uid="{42465882-3790-4946-A370-80CDE2AC3CF4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46" authorId="0" shapeId="0" xr:uid="{34E22390-5426-4877-AEBB-51D20B44CDA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R46" authorId="1" shapeId="0" xr:uid="{9950EE91-2A87-44BD-BB37-C032195C989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K47" authorId="0" shapeId="0" xr:uid="{7C1EA774-747D-4232-B8BD-091BC901777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Club shoot KZN 28 jan</t>
        </r>
      </text>
    </comment>
    <comment ref="N47" authorId="0" shapeId="0" xr:uid="{452CAB15-7809-4239-B340-E24AA94D76E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Club shoot KZN 14/4
NG HG &amp; PCC</t>
        </r>
      </text>
    </comment>
    <comment ref="O47" authorId="0" shapeId="0" xr:uid="{DBEBC3AE-0CE9-44BB-AF75-5579A6646A8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K48" authorId="0" shapeId="0" xr:uid="{7DEF276E-4159-4071-8965-A694DE5DC24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PCC League</t>
        </r>
      </text>
    </comment>
    <comment ref="Q48" authorId="0" shapeId="0" xr:uid="{2EA6DE2A-9F29-44E7-95E4-F14FA0E0A1B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
</t>
        </r>
      </text>
    </comment>
    <comment ref="L49" authorId="0" shapeId="0" xr:uid="{AA5CC8CB-14A1-449B-9262-DC49265ABA4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SAPSA HG
</t>
        </r>
      </text>
    </comment>
    <comment ref="O49" authorId="0" shapeId="0" xr:uid="{6D9260E8-6CE7-4004-8A9B-8A30EEA5B20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N53" authorId="0" shapeId="0" xr:uid="{6E37ADCF-E74A-4C4C-A6A1-6F80355B57F6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53" authorId="0" shapeId="0" xr:uid="{F7544576-ACD1-499B-A941-A196868B9E4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Q53" authorId="0" shapeId="0" xr:uid="{3D74CF8C-3C45-4A77-A8E4-A18628E055C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
</t>
        </r>
      </text>
    </comment>
    <comment ref="U53" authorId="1" shapeId="0" xr:uid="{9FAB293D-0519-4596-AB72-54EE2FDBD856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  <comment ref="K54" authorId="0" shapeId="0" xr:uid="{CA9244F1-8038-4BE8-B0F1-B366DE3B195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Rifle league</t>
        </r>
      </text>
    </comment>
    <comment ref="L54" authorId="0" shapeId="0" xr:uid="{F61ABD23-3472-420B-AB05-3295D5C404C5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</t>
        </r>
      </text>
    </comment>
    <comment ref="N54" authorId="0" shapeId="0" xr:uid="{2EED6B51-1E06-4076-ADE5-6BDF309FD4E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Rifle</t>
        </r>
      </text>
    </comment>
    <comment ref="R54" authorId="1" shapeId="0" xr:uid="{3A6A0CB7-73C0-4408-972E-858912ADAEB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S54" authorId="1" shapeId="0" xr:uid="{8890053E-8650-441A-ADF0-E4E54D03C8EC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</t>
        </r>
      </text>
    </comment>
    <comment ref="Q55" authorId="0" shapeId="0" xr:uid="{5F4BA0D5-E090-4A97-9C33-20F6E54B43B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
</t>
        </r>
      </text>
    </comment>
    <comment ref="N57" authorId="0" shapeId="0" xr:uid="{42834540-169F-474E-A184-DB427AB3C62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57" authorId="0" shapeId="0" xr:uid="{92130618-EEC7-4161-9C7A-D7E7905A017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Q57" authorId="0" shapeId="0" xr:uid="{DFB9B465-6FD9-460E-B8A8-4C3FBA5584F2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
</t>
        </r>
      </text>
    </comment>
    <comment ref="L59" authorId="0" shapeId="0" xr:uid="{F928DD06-7728-49BD-A496-E1B123D39F01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 &amp; PCC
SAPSA HG</t>
        </r>
      </text>
    </comment>
    <comment ref="M59" authorId="0" shapeId="0" xr:uid="{898AA5EE-34A9-42A3-8A5E-F61181C34D8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N59" authorId="0" shapeId="0" xr:uid="{FF9ED04F-38E6-43D0-B602-41EE094BFB07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O59" authorId="0" shapeId="0" xr:uid="{33961761-60A6-44DD-9C4B-CC30A2A1E34A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P59" authorId="0" shapeId="0" xr:uid="{D5F93AFB-8FD6-4372-AF8C-BF75DF1D476D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Q59" authorId="0" shapeId="0" xr:uid="{E7DFFFFC-FCD2-4954-A421-2E70B414A37B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HG</t>
        </r>
      </text>
    </comment>
    <comment ref="T59" authorId="1" shapeId="0" xr:uid="{50F2EB87-5326-4CBD-B9A5-4016F27CD914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Africa area</t>
        </r>
      </text>
    </comment>
    <comment ref="O60" authorId="0" shapeId="0" xr:uid="{5615F580-DD74-42A7-9267-04320C5F108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M61" authorId="0" shapeId="0" xr:uid="{F97D63D6-C1E6-45A8-9C29-483A62C3A0F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</t>
        </r>
      </text>
    </comment>
    <comment ref="O63" authorId="0" shapeId="0" xr:uid="{F3A647D2-1D5A-4103-B974-8AF470A321CE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 HG &amp; PCC</t>
        </r>
      </text>
    </comment>
    <comment ref="Q63" authorId="0" shapeId="0" xr:uid="{6A83ECFF-A946-4AA5-8590-471620B21359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NGPSA SG
</t>
        </r>
      </text>
    </comment>
    <comment ref="U65" authorId="1" shapeId="0" xr:uid="{119167BF-FB25-495D-AE45-4962D0828CC8}">
      <text>
        <r>
          <rPr>
            <b/>
            <sz val="9"/>
            <color indexed="81"/>
            <rFont val="Tahoma"/>
            <charset val="1"/>
          </rPr>
          <t>Dion Stead:</t>
        </r>
        <r>
          <rPr>
            <sz val="9"/>
            <color indexed="81"/>
            <rFont val="Tahoma"/>
            <charset val="1"/>
          </rPr>
          <t xml:space="preserve">
HG Defense shoot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dion stead</author>
  </authors>
  <commentList>
    <comment ref="L7" authorId="0" shapeId="0" xr:uid="{AF3D7ECC-3643-44D0-B5BC-96570513CE20}">
      <text>
        <r>
          <rPr>
            <b/>
            <sz val="9"/>
            <color indexed="81"/>
            <rFont val="Tahoma"/>
            <family val="2"/>
          </rPr>
          <t>dion stead:</t>
        </r>
        <r>
          <rPr>
            <sz val="9"/>
            <color indexed="81"/>
            <rFont val="Tahoma"/>
            <family val="2"/>
          </rPr>
          <t xml:space="preserve">
DQ</t>
        </r>
      </text>
    </comment>
  </commentList>
</comments>
</file>

<file path=xl/sharedStrings.xml><?xml version="1.0" encoding="utf-8"?>
<sst xmlns="http://schemas.openxmlformats.org/spreadsheetml/2006/main" count="2160" uniqueCount="490">
  <si>
    <t>SAPSA/NGPSA PMT</t>
  </si>
  <si>
    <t>Status</t>
  </si>
  <si>
    <t>Nick Name</t>
  </si>
  <si>
    <t>Name</t>
  </si>
  <si>
    <t>Surname</t>
  </si>
  <si>
    <t>Initials</t>
  </si>
  <si>
    <t>Identity Number</t>
  </si>
  <si>
    <t>Gender</t>
  </si>
  <si>
    <t>Age</t>
  </si>
  <si>
    <t>Paid</t>
  </si>
  <si>
    <t>Adriano Walter</t>
  </si>
  <si>
    <t>Paschini</t>
  </si>
  <si>
    <t>AW</t>
  </si>
  <si>
    <t>Albert</t>
  </si>
  <si>
    <t>Wöcke</t>
  </si>
  <si>
    <t>A</t>
  </si>
  <si>
    <t>660212 5130 085</t>
  </si>
  <si>
    <t>Andre</t>
  </si>
  <si>
    <t>van Rooyen</t>
  </si>
  <si>
    <t>760908 5116 086</t>
  </si>
  <si>
    <t>Andre Johann Pieter</t>
  </si>
  <si>
    <t>Mouton</t>
  </si>
  <si>
    <t>AJP</t>
  </si>
  <si>
    <t>540909 5061 089</t>
  </si>
  <si>
    <t>C</t>
  </si>
  <si>
    <t>Carl Johann</t>
  </si>
  <si>
    <t>Brandt</t>
  </si>
  <si>
    <t>CJ</t>
  </si>
  <si>
    <t>700127 5039 080</t>
  </si>
  <si>
    <t>Chris</t>
  </si>
  <si>
    <t>Ridout</t>
  </si>
  <si>
    <t>801204 5115 083</t>
  </si>
  <si>
    <t>Christoff Mechiel</t>
  </si>
  <si>
    <t>CM</t>
  </si>
  <si>
    <t>770203 5028 087</t>
  </si>
  <si>
    <t>Colin</t>
  </si>
  <si>
    <t>Bowring</t>
  </si>
  <si>
    <t>610411 5092 086</t>
  </si>
  <si>
    <t>Conrad Ernest</t>
  </si>
  <si>
    <t>CE</t>
  </si>
  <si>
    <t>730330 5029 085</t>
  </si>
  <si>
    <t>Corné</t>
  </si>
  <si>
    <t>Cornelis Herman</t>
  </si>
  <si>
    <t>van Driel</t>
  </si>
  <si>
    <t>CH</t>
  </si>
  <si>
    <t>860219 5052 084</t>
  </si>
  <si>
    <t>D</t>
  </si>
  <si>
    <t>Deon</t>
  </si>
  <si>
    <t>Labuschagne</t>
  </si>
  <si>
    <t>540625 5030 086</t>
  </si>
  <si>
    <t>Dion Rowlands</t>
  </si>
  <si>
    <t>Stead</t>
  </si>
  <si>
    <t>DR</t>
  </si>
  <si>
    <t>710112 5051 085</t>
  </si>
  <si>
    <t>DJ</t>
  </si>
  <si>
    <t>Smith</t>
  </si>
  <si>
    <t>641011 5006 087</t>
  </si>
  <si>
    <t>Doané</t>
  </si>
  <si>
    <t>Vermooten</t>
  </si>
  <si>
    <t>821020 5003 087</t>
  </si>
  <si>
    <t>Kiko</t>
  </si>
  <si>
    <t>Enrico</t>
  </si>
  <si>
    <t>Cupido</t>
  </si>
  <si>
    <t>E</t>
  </si>
  <si>
    <t>490415 5029 183</t>
  </si>
  <si>
    <t>Eurika Susara</t>
  </si>
  <si>
    <t>Du Plooy</t>
  </si>
  <si>
    <t>580328 0135 080</t>
  </si>
  <si>
    <t>John</t>
  </si>
  <si>
    <t>Frederick John</t>
  </si>
  <si>
    <t>Turnbull</t>
  </si>
  <si>
    <t>FJ</t>
  </si>
  <si>
    <t>641105 5154 085</t>
  </si>
  <si>
    <t>FC</t>
  </si>
  <si>
    <t>Truter</t>
  </si>
  <si>
    <t>Frik</t>
  </si>
  <si>
    <t>630510 5022 088</t>
  </si>
  <si>
    <t>Gaz</t>
  </si>
  <si>
    <t>Garrett-John</t>
  </si>
  <si>
    <t>Evans</t>
  </si>
  <si>
    <t>G-J</t>
  </si>
  <si>
    <t>920126 5038 088</t>
  </si>
  <si>
    <t>Gary Athol</t>
  </si>
  <si>
    <t>Hagemann</t>
  </si>
  <si>
    <t>GA</t>
  </si>
  <si>
    <t>690829 5255 085</t>
  </si>
  <si>
    <t>Coetzee</t>
  </si>
  <si>
    <t>G</t>
  </si>
  <si>
    <t>H</t>
  </si>
  <si>
    <t>Hendrik</t>
  </si>
  <si>
    <t>730106 5106 085</t>
  </si>
  <si>
    <t>Hennie</t>
  </si>
  <si>
    <t>Hendrik Johannes</t>
  </si>
  <si>
    <t>Joubert</t>
  </si>
  <si>
    <t>HJ</t>
  </si>
  <si>
    <t>720731 5081 087</t>
  </si>
  <si>
    <t>Ian David</t>
  </si>
  <si>
    <t>McLaren</t>
  </si>
  <si>
    <t>ID</t>
  </si>
  <si>
    <t>560824 5005 082</t>
  </si>
  <si>
    <t>Ivor</t>
  </si>
  <si>
    <t>Marais</t>
  </si>
  <si>
    <t>I</t>
  </si>
  <si>
    <t>660625 5047 084</t>
  </si>
  <si>
    <t>Reynders</t>
  </si>
  <si>
    <t>Jacques</t>
  </si>
  <si>
    <t>Swanepoel</t>
  </si>
  <si>
    <t>J</t>
  </si>
  <si>
    <t>930612 5047 086</t>
  </si>
  <si>
    <t>Johannes Francois</t>
  </si>
  <si>
    <t>Wheeler</t>
  </si>
  <si>
    <t>JF</t>
  </si>
  <si>
    <t>780916 5107 084</t>
  </si>
  <si>
    <t>Johan</t>
  </si>
  <si>
    <t>Kemp</t>
  </si>
  <si>
    <t>JM</t>
  </si>
  <si>
    <t>Kathleen Beresford</t>
  </si>
  <si>
    <t>Carter</t>
  </si>
  <si>
    <t>KB</t>
  </si>
  <si>
    <t>850322 0019 082</t>
  </si>
  <si>
    <t>Mervyn-John</t>
  </si>
  <si>
    <t>MJ</t>
  </si>
  <si>
    <t>581112 5133 081</t>
  </si>
  <si>
    <t>Daya</t>
  </si>
  <si>
    <t>Neal Monisen</t>
  </si>
  <si>
    <t>Sokay</t>
  </si>
  <si>
    <t>NM</t>
  </si>
  <si>
    <t>720725 5077 087</t>
  </si>
  <si>
    <t>Nicky</t>
  </si>
  <si>
    <t>Nikolaus Phillip Karl</t>
  </si>
  <si>
    <t>Bernhard</t>
  </si>
  <si>
    <t>NPK</t>
  </si>
  <si>
    <t>811210 5190 081</t>
  </si>
  <si>
    <t>Paul Herman</t>
  </si>
  <si>
    <t>Leuschner</t>
  </si>
  <si>
    <t>PH</t>
  </si>
  <si>
    <t>721226 5189 088</t>
  </si>
  <si>
    <t>Pierre Dewald</t>
  </si>
  <si>
    <t>Wrogemann</t>
  </si>
  <si>
    <t>PD</t>
  </si>
  <si>
    <t>691027 5045 080</t>
  </si>
  <si>
    <t>Renier Jansen</t>
  </si>
  <si>
    <t>RJ</t>
  </si>
  <si>
    <t>781023 5157 083</t>
  </si>
  <si>
    <t>Robyn Angela</t>
  </si>
  <si>
    <t>RA</t>
  </si>
  <si>
    <t>641020 0111 081</t>
  </si>
  <si>
    <t>Rodney Ralph</t>
  </si>
  <si>
    <t>Mills</t>
  </si>
  <si>
    <t>RR</t>
  </si>
  <si>
    <t>431206 5008 083</t>
  </si>
  <si>
    <t>R</t>
  </si>
  <si>
    <t>Ruben</t>
  </si>
  <si>
    <t>061024 5673 088</t>
  </si>
  <si>
    <t>S</t>
  </si>
  <si>
    <t>Simon Adriaan</t>
  </si>
  <si>
    <t>SA</t>
  </si>
  <si>
    <t>520101 5008 088</t>
  </si>
  <si>
    <t>Faan</t>
  </si>
  <si>
    <t>Stefanus Christiaan</t>
  </si>
  <si>
    <t>Bosch</t>
  </si>
  <si>
    <t>SC</t>
  </si>
  <si>
    <t>711129 5230 088</t>
  </si>
  <si>
    <t>Ian</t>
  </si>
  <si>
    <t>Stephanus Christiaan</t>
  </si>
  <si>
    <t>Bester</t>
  </si>
  <si>
    <t>670804 5143 080</t>
  </si>
  <si>
    <t>Sylvia</t>
  </si>
  <si>
    <t>Van der Neut</t>
  </si>
  <si>
    <t>680208 0085 080</t>
  </si>
  <si>
    <t>Wayne Erald</t>
  </si>
  <si>
    <t>Schmidt</t>
  </si>
  <si>
    <t>WE</t>
  </si>
  <si>
    <t>720915 5190 085</t>
  </si>
  <si>
    <t>Jakes</t>
  </si>
  <si>
    <t>Wilhelm Jacobus</t>
  </si>
  <si>
    <t>WJ</t>
  </si>
  <si>
    <t>690626 5142 085</t>
  </si>
  <si>
    <t>Sasha-Lee</t>
  </si>
  <si>
    <t>Du Plessis</t>
  </si>
  <si>
    <t>SL</t>
  </si>
  <si>
    <t>920921 0193 080</t>
  </si>
  <si>
    <t>Costa</t>
  </si>
  <si>
    <t>Costantinos</t>
  </si>
  <si>
    <t>Seindis</t>
  </si>
  <si>
    <t>881007 5204 085</t>
  </si>
  <si>
    <t>SAPSA number</t>
  </si>
  <si>
    <t>SAPSA Number</t>
  </si>
  <si>
    <t>Tag</t>
  </si>
  <si>
    <t>On web</t>
  </si>
  <si>
    <t>Total DS Points Earned</t>
  </si>
  <si>
    <t>Club Points</t>
  </si>
  <si>
    <t>League Points Earned - Jan</t>
  </si>
  <si>
    <t>League Points Earned - Feb</t>
  </si>
  <si>
    <t>League Points Earned - March</t>
  </si>
  <si>
    <t>League Points Earned - April</t>
  </si>
  <si>
    <t>League Points Earned - May</t>
  </si>
  <si>
    <t>League Points Earned - June</t>
  </si>
  <si>
    <t>League Points Earned - July</t>
  </si>
  <si>
    <t>League Points Earned - Aug</t>
  </si>
  <si>
    <t>League Points Earned - Sept</t>
  </si>
  <si>
    <t>League Points Earned - Oct</t>
  </si>
  <si>
    <t>League Points Earned - Nov</t>
  </si>
  <si>
    <t>League Points Earned - Dec</t>
  </si>
  <si>
    <t>Std handgun</t>
  </si>
  <si>
    <t>Prod Optics Handgun</t>
  </si>
  <si>
    <t>Prod Handgun</t>
  </si>
  <si>
    <t>Open Handgun</t>
  </si>
  <si>
    <t>Classic handgun</t>
  </si>
  <si>
    <t>Pistol Caliber Carbine</t>
  </si>
  <si>
    <t>Semi Auto Rifle - Open</t>
  </si>
  <si>
    <t>Semi Auto Rifle - STD</t>
  </si>
  <si>
    <t>Mini Rifle - Std</t>
  </si>
  <si>
    <t>Mini Rifle - Open</t>
  </si>
  <si>
    <t>Open Shotgun</t>
  </si>
  <si>
    <t>Std Shotgun</t>
  </si>
  <si>
    <t>Std Manual Shotgun</t>
  </si>
  <si>
    <t>May</t>
  </si>
  <si>
    <t>Club Ranking</t>
  </si>
  <si>
    <t>Division</t>
  </si>
  <si>
    <t>Points Earned</t>
  </si>
  <si>
    <t>Resuls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</si>
  <si>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</si>
  <si>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</si>
  <si>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</si>
  <si>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</si>
  <si>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</si>
  <si>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</si>
  <si>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</si>
  <si>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</si>
  <si>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</si>
  <si>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</si>
  <si>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</si>
  <si>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Std</t>
  </si>
  <si>
    <t>PO</t>
  </si>
  <si>
    <t>Modified</t>
  </si>
  <si>
    <t>Manual Shotgun</t>
  </si>
  <si>
    <t>Mini Rifle -STD</t>
  </si>
  <si>
    <t>Mini Rifle Open</t>
  </si>
  <si>
    <t>Std Rifle</t>
  </si>
  <si>
    <t>Open Rifle</t>
  </si>
  <si>
    <t>PCC</t>
  </si>
  <si>
    <t>Classic</t>
  </si>
  <si>
    <t>OPEN</t>
  </si>
  <si>
    <t>Production</t>
  </si>
  <si>
    <t>Date of birth</t>
  </si>
  <si>
    <t>James Matthew</t>
  </si>
  <si>
    <t>040517 5145 086</t>
  </si>
  <si>
    <t>SS</t>
  </si>
  <si>
    <t>811005 5001 084</t>
  </si>
  <si>
    <t>P</t>
  </si>
  <si>
    <t>Johan Gerard</t>
  </si>
  <si>
    <t>Bultman</t>
  </si>
  <si>
    <t>JG</t>
  </si>
  <si>
    <t>830112 5008 080</t>
  </si>
  <si>
    <t xml:space="preserve">Leon </t>
  </si>
  <si>
    <t>Myburgh</t>
  </si>
  <si>
    <t>LC</t>
  </si>
  <si>
    <t>720106 5250 083</t>
  </si>
  <si>
    <t>Category</t>
  </si>
  <si>
    <t>580321 5063 084</t>
  </si>
  <si>
    <t>Kwimton Schalk</t>
  </si>
  <si>
    <t>van Jaarsveld</t>
  </si>
  <si>
    <t>KS</t>
  </si>
  <si>
    <t>830610 5173 085</t>
  </si>
  <si>
    <t xml:space="preserve">Schalk </t>
  </si>
  <si>
    <t>WS</t>
  </si>
  <si>
    <t>George Keith</t>
  </si>
  <si>
    <t>GK</t>
  </si>
  <si>
    <t>710625 5026 088</t>
  </si>
  <si>
    <t>Louis Johannes</t>
  </si>
  <si>
    <t>Nel</t>
  </si>
  <si>
    <t>LJ</t>
  </si>
  <si>
    <t>770907 5002 088</t>
  </si>
  <si>
    <t>Allessandro Raffaele</t>
  </si>
  <si>
    <t>AR</t>
  </si>
  <si>
    <t>9909035421083</t>
  </si>
  <si>
    <t>6+</t>
  </si>
  <si>
    <t>Mar2</t>
  </si>
  <si>
    <t>Piero</t>
  </si>
  <si>
    <t>770924 5005 086</t>
  </si>
  <si>
    <t>May 2</t>
  </si>
  <si>
    <t>Dreyer</t>
  </si>
  <si>
    <t>DSJ</t>
  </si>
  <si>
    <t>820408 5161 081</t>
  </si>
  <si>
    <t>Daniel Stephanus</t>
  </si>
  <si>
    <t>Daniel Stephanus Jacobus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</si>
  <si>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</si>
  <si>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</si>
  <si>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</si>
  <si>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</si>
  <si>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</si>
  <si>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</si>
  <si>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</si>
  <si>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</si>
  <si>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</si>
  <si>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</si>
  <si>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</si>
  <si>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</si>
  <si>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</si>
  <si>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</si>
  <si>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</si>
  <si>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</si>
  <si>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</si>
  <si>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</si>
  <si>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</si>
  <si>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</si>
  <si>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</si>
  <si>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</si>
  <si>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</si>
  <si>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</si>
  <si>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</si>
  <si>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</si>
  <si>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</si>
  <si>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</si>
  <si>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</si>
  <si>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</si>
  <si>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</si>
  <si>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</si>
  <si>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</si>
  <si>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</si>
  <si>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</si>
  <si>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</si>
  <si>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</si>
  <si>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</si>
  <si>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</si>
  <si>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</si>
  <si>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</si>
  <si>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</si>
  <si>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</si>
  <si>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</si>
  <si>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</si>
  <si>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</si>
  <si>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</si>
  <si>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</si>
  <si>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</si>
  <si>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</si>
  <si>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</si>
  <si>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</si>
  <si>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</si>
  <si>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</si>
  <si>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</si>
  <si>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</si>
  <si>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</si>
  <si>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</si>
  <si>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</si>
  <si>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</si>
  <si>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</si>
  <si>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</si>
  <si>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</si>
  <si>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</si>
  <si>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</si>
  <si>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</si>
  <si>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</si>
  <si>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</si>
  <si>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</si>
  <si>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</si>
  <si>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</si>
  <si>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</si>
  <si>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</si>
  <si>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</si>
  <si>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</si>
  <si>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</si>
  <si>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</si>
  <si>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</si>
  <si>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</si>
  <si>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</si>
  <si>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</si>
  <si>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</si>
  <si>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</si>
  <si>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</si>
  <si>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</si>
  <si>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</si>
  <si>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</si>
  <si>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</si>
  <si>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</si>
  <si>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</si>
  <si>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</si>
  <si>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</si>
  <si>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</si>
  <si>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</si>
  <si>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</si>
  <si>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</si>
  <si>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</si>
  <si>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</si>
  <si>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</si>
  <si>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</si>
  <si>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</si>
  <si>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</si>
  <si>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</si>
  <si>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</si>
  <si>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</si>
  <si>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</si>
  <si>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</si>
  <si>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</si>
  <si>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</si>
  <si>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</si>
  <si>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</si>
  <si>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</si>
  <si>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</si>
  <si>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</si>
  <si>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</si>
  <si>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</si>
  <si>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</si>
  <si>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</si>
  <si>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</si>
  <si>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</si>
  <si>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</si>
  <si>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</si>
  <si>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</si>
  <si>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</si>
  <si>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</si>
  <si>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</si>
  <si>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</si>
  <si>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</si>
  <si>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</si>
  <si>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</si>
  <si>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</si>
  <si>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</si>
  <si>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</si>
  <si>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</si>
  <si>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</si>
  <si>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</si>
  <si>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</si>
  <si>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</si>
  <si>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</si>
  <si>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</si>
  <si>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</si>
  <si>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</si>
  <si>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</si>
  <si>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Jul2</t>
  </si>
  <si>
    <t>Aug2</t>
  </si>
  <si>
    <t>Sep2</t>
  </si>
  <si>
    <t>Oct2</t>
  </si>
  <si>
    <t>Nov2</t>
  </si>
  <si>
    <t>Jan2</t>
  </si>
  <si>
    <t>Feb2</t>
  </si>
  <si>
    <t>Dec2</t>
  </si>
  <si>
    <t>James</t>
  </si>
  <si>
    <t>Masonganye</t>
  </si>
  <si>
    <t>730707 5718 082</t>
  </si>
  <si>
    <t>Ian John</t>
  </si>
  <si>
    <t>Kewley</t>
  </si>
  <si>
    <t>IJ</t>
  </si>
  <si>
    <t>791119 5036 083</t>
  </si>
  <si>
    <t>Apr2</t>
  </si>
  <si>
    <t>Paid up</t>
  </si>
  <si>
    <t>Y</t>
  </si>
  <si>
    <t>Column1</t>
  </si>
  <si>
    <t>Yussuf</t>
  </si>
  <si>
    <t>Mayet</t>
  </si>
  <si>
    <t>530505 5132 086</t>
  </si>
  <si>
    <t>Jun2</t>
  </si>
  <si>
    <t>Daniel</t>
  </si>
  <si>
    <t>McWilliam</t>
  </si>
  <si>
    <t>8603255365085</t>
  </si>
  <si>
    <t>Glenn</t>
  </si>
  <si>
    <t>Kieser</t>
  </si>
  <si>
    <t>640416 4128 081</t>
  </si>
  <si>
    <t>Jacobs</t>
  </si>
  <si>
    <t>781109 5108 083</t>
  </si>
  <si>
    <t>Sizwe</t>
  </si>
  <si>
    <t>Hlongwane</t>
  </si>
  <si>
    <t>800401 5677 085</t>
  </si>
  <si>
    <t>Feroz</t>
  </si>
  <si>
    <t>F</t>
  </si>
  <si>
    <t>710126 5047 083</t>
  </si>
  <si>
    <t>Anton</t>
  </si>
  <si>
    <t>Booyse</t>
  </si>
  <si>
    <t>Shannon Kimberley</t>
  </si>
  <si>
    <t>Gahagan</t>
  </si>
  <si>
    <t>700319 5239 089</t>
  </si>
  <si>
    <t>911129 0042 080</t>
  </si>
  <si>
    <t>y</t>
  </si>
  <si>
    <t>Annemarie</t>
  </si>
  <si>
    <t>Pienaar</t>
  </si>
  <si>
    <t>890506 0132 083</t>
  </si>
  <si>
    <t>Roelof</t>
  </si>
  <si>
    <t>Liebenberg</t>
  </si>
  <si>
    <t>670226 5045 083</t>
  </si>
  <si>
    <t>Sebella</t>
  </si>
  <si>
    <t>O'Donovan</t>
  </si>
  <si>
    <t>540728 0084 080</t>
  </si>
  <si>
    <t>Marius Frans</t>
  </si>
  <si>
    <t>van Biljon</t>
  </si>
  <si>
    <t>MF</t>
  </si>
  <si>
    <t>710901 5245 089</t>
  </si>
  <si>
    <t>Daneel</t>
  </si>
  <si>
    <t>van eck</t>
  </si>
  <si>
    <t>750917 5144 081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</si>
</sst>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C09]#,##0"/>
    <numFmt numFmtId="165" formatCode="[$-1C09]0.00"/>
    <numFmt numFmtId="166" formatCode="[$-1C09]0"/>
    <numFmt numFmtId="167" formatCode="[$-1C09]0.000"/>
  </numFmts>
  <fonts count="23" x14ac:knownFonts="1">
    <font>
      <sz val="11"/>
      <color theme="1"/>
      <name val="Calibri"/>
      <family val="2"/>
      <scheme val="minor"/>
    </font>
    <font>
      <sz val="10"/>
      <color rgb="FF000000"/>
      <name val="Helv"/>
    </font>
    <font>
      <b/>
      <sz val="10"/>
      <color rgb="FF000000"/>
      <name val="Calibri"/>
      <family val="2"/>
    </font>
    <font>
      <b/>
      <sz val="11"/>
      <color rgb="FFFEFEFE"/>
      <name val="Calibri"/>
      <family val="2"/>
    </font>
    <font>
      <sz val="10"/>
      <color rgb="FF000000"/>
      <name val="Calibri Bold"/>
    </font>
    <font>
      <sz val="10"/>
      <color indexed="8"/>
      <name val="Helv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 Bold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 Bold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 Bold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53A2D6"/>
        <bgColor rgb="FF53A2D6"/>
      </patternFill>
    </fill>
    <fill>
      <patternFill patternType="solid">
        <fgColor rgb="FF8EB4E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>
      <alignment vertical="top" wrapText="1"/>
    </xf>
    <xf numFmtId="0" fontId="5" fillId="0" borderId="0" applyNumberFormat="0" applyFill="0" applyBorder="0" applyProtection="0">
      <alignment vertical="top" wrapText="1"/>
    </xf>
  </cellStyleXfs>
  <cellXfs count="15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3" borderId="9" xfId="1" applyNumberFormat="1" applyFont="1" applyFill="1" applyBorder="1" applyAlignment="1">
      <alignment horizontal="center" vertical="center" wrapText="1"/>
    </xf>
    <xf numFmtId="49" fontId="3" fillId="3" borderId="10" xfId="1" applyNumberFormat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165" fontId="3" fillId="3" borderId="9" xfId="1" applyNumberFormat="1" applyFont="1" applyFill="1" applyBorder="1" applyAlignment="1">
      <alignment horizontal="center" vertical="center" wrapText="1"/>
    </xf>
    <xf numFmtId="0" fontId="2" fillId="0" borderId="0" xfId="1" applyFo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0" xfId="1" applyFont="1" applyBorder="1">
      <alignment vertical="top" wrapText="1"/>
    </xf>
    <xf numFmtId="0" fontId="2" fillId="0" borderId="12" xfId="1" applyFont="1" applyBorder="1">
      <alignment vertical="top" wrapText="1"/>
    </xf>
    <xf numFmtId="0" fontId="2" fillId="4" borderId="10" xfId="1" applyFont="1" applyFill="1" applyBorder="1">
      <alignment vertical="top" wrapText="1"/>
    </xf>
    <xf numFmtId="165" fontId="2" fillId="4" borderId="10" xfId="1" applyNumberFormat="1" applyFont="1" applyFill="1" applyBorder="1">
      <alignment vertical="top" wrapText="1"/>
    </xf>
    <xf numFmtId="165" fontId="2" fillId="5" borderId="10" xfId="1" applyNumberFormat="1" applyFont="1" applyFill="1" applyBorder="1">
      <alignment vertical="top" wrapText="1"/>
    </xf>
    <xf numFmtId="165" fontId="2" fillId="0" borderId="10" xfId="1" applyNumberFormat="1" applyFont="1" applyBorder="1">
      <alignment vertical="top" wrapText="1"/>
    </xf>
    <xf numFmtId="166" fontId="4" fillId="0" borderId="11" xfId="1" applyNumberFormat="1" applyFont="1" applyBorder="1" applyAlignment="1">
      <alignment horizontal="left" vertical="top" wrapText="1"/>
    </xf>
    <xf numFmtId="166" fontId="4" fillId="0" borderId="10" xfId="1" applyNumberFormat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0" borderId="9" xfId="1" applyFont="1" applyBorder="1">
      <alignment vertical="top" wrapText="1"/>
    </xf>
    <xf numFmtId="166" fontId="4" fillId="0" borderId="13" xfId="1" applyNumberFormat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166" fontId="4" fillId="0" borderId="1" xfId="1" applyNumberFormat="1" applyFont="1" applyBorder="1" applyAlignment="1">
      <alignment horizontal="left" vertical="top" wrapText="1"/>
    </xf>
    <xf numFmtId="0" fontId="2" fillId="0" borderId="1" xfId="1" applyFont="1" applyBorder="1">
      <alignment vertical="top" wrapText="1"/>
    </xf>
    <xf numFmtId="0" fontId="2" fillId="4" borderId="1" xfId="1" applyFont="1" applyFill="1" applyBorder="1">
      <alignment vertical="top" wrapText="1"/>
    </xf>
    <xf numFmtId="0" fontId="2" fillId="0" borderId="8" xfId="1" applyFont="1" applyBorder="1" applyAlignment="1">
      <alignment horizontal="center" vertical="top" wrapText="1"/>
    </xf>
    <xf numFmtId="166" fontId="4" fillId="0" borderId="8" xfId="1" applyNumberFormat="1" applyFont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165" fontId="2" fillId="0" borderId="0" xfId="1" applyNumberFormat="1" applyFont="1">
      <alignment vertical="top" wrapText="1"/>
    </xf>
    <xf numFmtId="0" fontId="4" fillId="0" borderId="10" xfId="1" applyFont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8" xfId="1" applyFont="1" applyFill="1" applyBorder="1">
      <alignment vertical="top" wrapText="1"/>
    </xf>
    <xf numFmtId="165" fontId="2" fillId="5" borderId="9" xfId="1" applyNumberFormat="1" applyFont="1" applyFill="1" applyBorder="1">
      <alignment vertical="top" wrapText="1"/>
    </xf>
    <xf numFmtId="165" fontId="2" fillId="0" borderId="9" xfId="1" applyNumberFormat="1" applyFont="1" applyBorder="1">
      <alignment vertical="top" wrapText="1"/>
    </xf>
    <xf numFmtId="165" fontId="2" fillId="5" borderId="1" xfId="1" applyNumberFormat="1" applyFont="1" applyFill="1" applyBorder="1">
      <alignment vertical="top" wrapText="1"/>
    </xf>
    <xf numFmtId="165" fontId="2" fillId="0" borderId="1" xfId="1" applyNumberFormat="1" applyFont="1" applyBorder="1">
      <alignment vertical="top" wrapText="1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8" xfId="1" applyFont="1" applyBorder="1">
      <alignment vertical="top" wrapText="1"/>
    </xf>
    <xf numFmtId="0" fontId="2" fillId="0" borderId="19" xfId="1" applyFont="1" applyBorder="1">
      <alignment vertical="top" wrapText="1"/>
    </xf>
    <xf numFmtId="2" fontId="0" fillId="0" borderId="0" xfId="0" applyNumberFormat="1"/>
    <xf numFmtId="49" fontId="3" fillId="3" borderId="10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top" wrapText="1"/>
    </xf>
    <xf numFmtId="49" fontId="9" fillId="6" borderId="0" xfId="2" applyNumberFormat="1" applyFont="1" applyFill="1" applyBorder="1">
      <alignment vertical="top" wrapText="1"/>
    </xf>
    <xf numFmtId="2" fontId="2" fillId="0" borderId="0" xfId="1" applyNumberFormat="1" applyFo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3" xfId="1" applyFont="1" applyBorder="1" applyAlignment="1">
      <alignment horizontal="left" vertical="top" wrapText="1"/>
    </xf>
    <xf numFmtId="164" fontId="3" fillId="3" borderId="9" xfId="1" quotePrefix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13" fillId="5" borderId="10" xfId="1" applyNumberFormat="1" applyFont="1" applyFill="1" applyBorder="1">
      <alignment vertical="top" wrapText="1"/>
    </xf>
    <xf numFmtId="165" fontId="13" fillId="0" borderId="10" xfId="1" applyNumberFormat="1" applyFont="1" applyBorder="1">
      <alignment vertical="top" wrapText="1"/>
    </xf>
    <xf numFmtId="0" fontId="0" fillId="8" borderId="1" xfId="0" applyFill="1" applyBorder="1" applyAlignment="1">
      <alignment horizontal="center" vertical="center"/>
    </xf>
    <xf numFmtId="0" fontId="11" fillId="0" borderId="0" xfId="0" applyFont="1"/>
    <xf numFmtId="49" fontId="17" fillId="0" borderId="0" xfId="2" applyNumberFormat="1" applyFont="1" applyFill="1" applyBorder="1">
      <alignment vertical="top" wrapText="1"/>
    </xf>
    <xf numFmtId="49" fontId="11" fillId="0" borderId="0" xfId="0" applyNumberFormat="1" applyFont="1"/>
    <xf numFmtId="49" fontId="11" fillId="0" borderId="0" xfId="0" applyNumberFormat="1" applyFont="1" applyAlignment="1">
      <alignment horizontal="left"/>
    </xf>
    <xf numFmtId="166" fontId="4" fillId="0" borderId="15" xfId="1" applyNumberFormat="1" applyFont="1" applyBorder="1" applyAlignment="1">
      <alignment horizontal="left" vertical="top" wrapText="1"/>
    </xf>
    <xf numFmtId="0" fontId="2" fillId="0" borderId="15" xfId="1" applyFont="1" applyBorder="1" applyAlignment="1">
      <alignment horizontal="left" vertical="top" wrapText="1"/>
    </xf>
    <xf numFmtId="166" fontId="19" fillId="0" borderId="11" xfId="1" applyNumberFormat="1" applyFont="1" applyBorder="1" applyAlignment="1">
      <alignment horizontal="left" vertical="top" wrapText="1"/>
    </xf>
    <xf numFmtId="0" fontId="19" fillId="0" borderId="11" xfId="1" applyFont="1" applyBorder="1" applyAlignment="1">
      <alignment horizontal="left" vertical="top" wrapText="1"/>
    </xf>
    <xf numFmtId="166" fontId="19" fillId="0" borderId="10" xfId="1" applyNumberFormat="1" applyFont="1" applyBorder="1" applyAlignment="1">
      <alignment horizontal="left" vertical="top" wrapText="1"/>
    </xf>
    <xf numFmtId="166" fontId="19" fillId="0" borderId="15" xfId="1" applyNumberFormat="1" applyFont="1" applyBorder="1" applyAlignment="1">
      <alignment horizontal="left" vertical="top" wrapText="1"/>
    </xf>
    <xf numFmtId="0" fontId="19" fillId="0" borderId="10" xfId="1" applyFont="1" applyBorder="1" applyAlignment="1">
      <alignment horizontal="left" vertical="top" wrapText="1"/>
    </xf>
    <xf numFmtId="166" fontId="19" fillId="0" borderId="1" xfId="1" applyNumberFormat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top" wrapText="1"/>
    </xf>
    <xf numFmtId="166" fontId="19" fillId="0" borderId="8" xfId="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center"/>
    </xf>
    <xf numFmtId="166" fontId="4" fillId="0" borderId="4" xfId="1" applyNumberFormat="1" applyFont="1" applyBorder="1" applyAlignment="1">
      <alignment horizontal="left" vertical="top" wrapText="1"/>
    </xf>
    <xf numFmtId="166" fontId="19" fillId="0" borderId="13" xfId="1" applyNumberFormat="1" applyFont="1" applyBorder="1" applyAlignment="1">
      <alignment horizontal="left" vertical="top" wrapText="1"/>
    </xf>
    <xf numFmtId="166" fontId="4" fillId="0" borderId="0" xfId="1" applyNumberFormat="1" applyFont="1" applyAlignment="1">
      <alignment horizontal="left" vertical="top" wrapText="1"/>
    </xf>
    <xf numFmtId="166" fontId="2" fillId="0" borderId="11" xfId="1" applyNumberFormat="1" applyFont="1" applyBorder="1" applyAlignment="1">
      <alignment horizontal="left" vertical="top" wrapText="1"/>
    </xf>
    <xf numFmtId="166" fontId="2" fillId="0" borderId="10" xfId="1" applyNumberFormat="1" applyFont="1" applyBorder="1" applyAlignment="1">
      <alignment horizontal="left" vertical="top" wrapText="1"/>
    </xf>
    <xf numFmtId="166" fontId="2" fillId="0" borderId="0" xfId="1" applyNumberFormat="1" applyFont="1" applyAlignment="1">
      <alignment horizontal="left" vertical="top" wrapText="1"/>
    </xf>
    <xf numFmtId="166" fontId="4" fillId="0" borderId="12" xfId="1" applyNumberFormat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166" fontId="2" fillId="0" borderId="1" xfId="1" applyNumberFormat="1" applyFont="1" applyBorder="1" applyAlignment="1">
      <alignment horizontal="left" vertical="top" wrapText="1"/>
    </xf>
    <xf numFmtId="167" fontId="2" fillId="4" borderId="10" xfId="1" applyNumberFormat="1" applyFont="1" applyFill="1" applyBorder="1">
      <alignment vertical="top" wrapText="1"/>
    </xf>
    <xf numFmtId="166" fontId="4" fillId="0" borderId="24" xfId="1" applyNumberFormat="1" applyFont="1" applyBorder="1" applyAlignment="1">
      <alignment horizontal="left" vertical="top" wrapText="1"/>
    </xf>
    <xf numFmtId="166" fontId="4" fillId="0" borderId="21" xfId="1" applyNumberFormat="1" applyFont="1" applyBorder="1" applyAlignment="1">
      <alignment horizontal="left" vertical="top" wrapText="1"/>
    </xf>
    <xf numFmtId="166" fontId="4" fillId="0" borderId="22" xfId="1" applyNumberFormat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49" fontId="6" fillId="0" borderId="0" xfId="2" applyNumberFormat="1" applyFont="1" applyFill="1" applyBorder="1" applyAlignment="1">
      <alignment horizontal="left" vertical="top" wrapText="1"/>
    </xf>
    <xf numFmtId="49" fontId="7" fillId="0" borderId="0" xfId="2" applyNumberFormat="1" applyFont="1" applyFill="1" applyBorder="1" applyAlignment="1">
      <alignment horizontal="left" vertical="top" wrapText="1"/>
    </xf>
    <xf numFmtId="49" fontId="16" fillId="0" borderId="0" xfId="2" applyNumberFormat="1" applyFont="1" applyFill="1" applyBorder="1" applyAlignment="1">
      <alignment horizontal="left" vertical="top" wrapText="1"/>
    </xf>
    <xf numFmtId="49" fontId="17" fillId="0" borderId="0" xfId="2" applyNumberFormat="1" applyFont="1" applyFill="1" applyBorder="1" applyAlignment="1">
      <alignment horizontal="left" vertical="top" wrapText="1"/>
    </xf>
    <xf numFmtId="49" fontId="10" fillId="0" borderId="0" xfId="2" applyNumberFormat="1" applyFont="1" applyFill="1" applyBorder="1" applyAlignment="1">
      <alignment horizontal="left" vertical="top" wrapText="1"/>
    </xf>
    <xf numFmtId="49" fontId="9" fillId="0" borderId="0" xfId="2" applyNumberFormat="1" applyFont="1" applyFill="1" applyBorder="1" applyAlignment="1">
      <alignment horizontal="left" vertical="top" wrapText="1"/>
    </xf>
    <xf numFmtId="14" fontId="11" fillId="0" borderId="0" xfId="0" applyNumberFormat="1" applyFont="1"/>
    <xf numFmtId="0" fontId="11" fillId="2" borderId="0" xfId="0" applyFont="1" applyFill="1"/>
    <xf numFmtId="0" fontId="0" fillId="2" borderId="0" xfId="0" applyFill="1"/>
    <xf numFmtId="0" fontId="4" fillId="0" borderId="15" xfId="1" applyFont="1" applyBorder="1" applyAlignment="1">
      <alignment horizontal="left" vertical="top" wrapText="1"/>
    </xf>
    <xf numFmtId="166" fontId="4" fillId="0" borderId="20" xfId="1" applyNumberFormat="1" applyFont="1" applyBorder="1" applyAlignment="1">
      <alignment horizontal="left" vertical="top" wrapText="1"/>
    </xf>
    <xf numFmtId="166" fontId="0" fillId="0" borderId="1" xfId="0" applyNumberFormat="1" applyBorder="1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1" fontId="10" fillId="6" borderId="11" xfId="2" applyNumberFormat="1" applyFont="1" applyFill="1" applyBorder="1" applyAlignment="1">
      <alignment horizontal="left" vertical="top" wrapText="1"/>
    </xf>
    <xf numFmtId="166" fontId="4" fillId="0" borderId="14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8" xfId="1" applyFont="1" applyBorder="1">
      <alignment vertical="top" wrapText="1"/>
    </xf>
    <xf numFmtId="165" fontId="2" fillId="4" borderId="9" xfId="1" applyNumberFormat="1" applyFont="1" applyFill="1" applyBorder="1">
      <alignment vertical="top" wrapText="1"/>
    </xf>
    <xf numFmtId="165" fontId="2" fillId="4" borderId="1" xfId="1" applyNumberFormat="1" applyFont="1" applyFill="1" applyBorder="1">
      <alignment vertical="top" wrapText="1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20" fillId="0" borderId="15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0" borderId="14" xfId="1" applyFont="1" applyBorder="1" applyAlignment="1">
      <alignment horizontal="left" vertical="top" wrapText="1"/>
    </xf>
    <xf numFmtId="166" fontId="2" fillId="0" borderId="23" xfId="1" applyNumberFormat="1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center"/>
    </xf>
    <xf numFmtId="166" fontId="19" fillId="0" borderId="0" xfId="1" applyNumberFormat="1" applyFont="1" applyAlignment="1">
      <alignment horizontal="left" vertical="top" wrapText="1"/>
    </xf>
    <xf numFmtId="1" fontId="6" fillId="6" borderId="10" xfId="0" applyNumberFormat="1" applyFont="1" applyFill="1" applyBorder="1" applyAlignment="1">
      <alignment horizontal="left" vertical="top" wrapText="1"/>
    </xf>
    <xf numFmtId="0" fontId="19" fillId="0" borderId="8" xfId="1" applyFont="1" applyBorder="1" applyAlignment="1">
      <alignment horizontal="left" vertical="top" wrapText="1"/>
    </xf>
    <xf numFmtId="166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3">
    <cellStyle name="Excel Built-in Normal" xfId="1" xr:uid="{FE91F21B-59A7-44B5-935D-15B65544ED2A}"/>
    <cellStyle name="Normal" xfId="0" builtinId="0"/>
    <cellStyle name="Normal 2" xfId="2" xr:uid="{4C75CA87-28F4-490F-A390-9A1C9C3C8B2A}"/>
  </cellStyles>
  <dxfs count="19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[$-1C09]0.00"/>
      <fill>
        <patternFill patternType="solid">
          <fgColor rgb="FFFFFF00"/>
          <bgColor rgb="FFFFFF0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165" formatCode="[$-1C09]0.00"/>
    </dxf>
    <dxf>
      <numFmt numFmtId="0" formatCode="General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numFmt numFmtId="0" formatCode="General"/>
      <border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</dxf>
    <dxf>
      <font>
        <b/>
      </font>
      <numFmt numFmtId="0" formatCode="General"/>
      <alignment horizontal="left" textRotation="0" wrapText="1" indent="0" justifyLastLine="0" shrinkToFit="0" readingOrder="0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numFmt numFmtId="165" formatCode="[$-1C09]0.00"/>
    </dxf>
    <dxf>
      <font>
        <b/>
        <sz val="10"/>
        <color rgb="FF000000"/>
        <name val="Calibri"/>
        <family val="2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z val="10"/>
        <color rgb="FF000000"/>
        <name val="Calibri"/>
        <family val="2"/>
        <scheme val="none"/>
      </font>
      <numFmt numFmtId="0" formatCode="General"/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z val="10"/>
        <color rgb="FF000000"/>
        <name val="Calibri"/>
        <family val="2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z val="10"/>
        <color rgb="FF000000"/>
        <name val="Calibri"/>
        <family val="2"/>
        <scheme val="none"/>
      </font>
      <numFmt numFmtId="0" formatCode="General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166" formatCode="[$-1C09]0"/>
      <alignment horizontal="left" vertical="top" textRotation="0" wrapText="1" indent="0" justifyLastLine="0" shrinkToFit="0" readingOrder="0"/>
    </dxf>
    <dxf>
      <numFmt numFmtId="0" formatCode="General"/>
    </dxf>
    <dxf>
      <numFmt numFmtId="165" formatCode="[$-1C09]0.00"/>
    </dxf>
    <dxf>
      <border outline="0">
        <left style="thin">
          <color rgb="FF000000"/>
        </left>
      </border>
    </dxf>
    <dxf>
      <alignment horizontal="center" vertical="top" textRotation="0" wrapText="1" indent="0" justifyLastLine="0" shrinkToFit="0" readingOrder="0"/>
    </dxf>
    <dxf>
      <numFmt numFmtId="0" formatCode="General"/>
      <border outline="0">
        <right style="thin">
          <color rgb="FF000000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Bold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textRotation="0" wrapText="1" indent="0" justifyLastLine="0" shrinkToFit="0" readingOrder="0"/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" formatCode="0.00"/>
    </dxf>
    <dxf>
      <numFmt numFmtId="19" formatCode="yyyy/mm/dd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5D0189-C635-43A0-BFA6-BB56CE225B59}" name="Table1" displayName="Table1" ref="A1:EY148" totalsRowShown="0">
  <autoFilter ref="A1:EY148" xr:uid="{4AF68EA7-B2B8-454C-B232-5CFF274F75EA}">
    <filterColumn colId="5">
      <filters>
        <filter val="Evans"/>
      </filters>
    </filterColumn>
  </autoFilter>
  <sortState xmlns:xlrd2="http://schemas.microsoft.com/office/spreadsheetml/2017/richdata2" ref="A2:EY148">
    <sortCondition ref="A1:A148"/>
  </sortState>
  <tableColumns count="155">
    <tableColumn id="1" xr3:uid="{3819BDF3-69D7-413C-9DB2-23E50E717623}" name="SAPSA number"/>
    <tableColumn id="2" xr3:uid="{0F7D3B95-1870-4173-8DBB-C9A33AE422A8}" name="SAPSA/NGPSA PMT"/>
    <tableColumn id="3" xr3:uid="{BA4821A8-6EC3-4D0F-B497-A415DDABD9C6}" name="Status"/>
    <tableColumn id="4" xr3:uid="{A8FB94A1-65AA-4CC5-A7E6-E1B0852FD58A}" name="Nick Name"/>
    <tableColumn id="5" xr3:uid="{BAEA4FB1-4F1A-4B67-A248-2BBB33C97286}" name="Name"/>
    <tableColumn id="6" xr3:uid="{C0BBC0C2-4AB7-4ADB-8983-9F87DBDA0B59}" name="Surname"/>
    <tableColumn id="7" xr3:uid="{A8C98238-FD83-4723-B6B9-475D210C3CEF}" name="Initials"/>
    <tableColumn id="10" xr3:uid="{02A0EE16-F472-4966-A6AE-0BA41298F2CB}" name="Paid up"/>
    <tableColumn id="9" xr3:uid="{967A7EB3-BE55-45CB-9ED5-DCC1A0013F1D}" name="Identity Number"/>
    <tableColumn id="11" xr3:uid="{00C57350-EB01-45DE-8208-8CECA1DD0DB8}" name="Gender" dataDxfId="192">
      <calculatedColumnFormula>IF(MID(I2,8,1)="0","Lady",IF(Table1[[#This Row],[Age]]&gt;60,"SS",IF(Table1[[#This Row],[Age]]&gt;50,"S",IF(Table1[[#This Row],[Age]]&lt;21,"Jnr"," "))))</calculatedColumnFormula>
    </tableColumn>
    <tableColumn id="21" xr3:uid="{872383BD-7F5E-4E53-AF93-66E9F7A870A9}" name="Date of birth" dataDxfId="191">
      <calculatedColumnFormula xml:space="preserve"> IFERROR(DATE(LEFT(I2,2)+IF(LEFT(I2,2)&lt;RIGHT(YEAR(TODAY()),2),2000,1900),MID(I2,3,2),MID(I2,5,2)),"")</calculatedColumnFormula>
    </tableColumn>
    <tableColumn id="12" xr3:uid="{28710749-C3B0-4927-B485-FAB47CB500FF}" name="Age" dataDxfId="190">
      <calculatedColumnFormula>DATEDIF(Table1[[#This Row],[Date of birth]],TODAY(),"Y")</calculatedColumnFormula>
    </tableColumn>
    <tableColumn id="51" xr3:uid="{44562F3C-4243-4385-BEDD-3CB31EA68287}" name="Column30"/>
    <tableColumn id="52" xr3:uid="{60E85DF8-B3B4-4385-A69C-50B984AC83FA}" name="Column31"/>
    <tableColumn id="53" xr3:uid="{DD02E5D6-AD34-4F2F-8D80-017EC7655006}" name="Column32"/>
    <tableColumn id="54" xr3:uid="{C1A0A890-9449-4B2D-B164-441D0BDDAA3D}" name="Column33"/>
    <tableColumn id="55" xr3:uid="{1805C918-CC7D-4BFF-B1D4-539040D4D7C3}" name="Column34"/>
    <tableColumn id="56" xr3:uid="{F9045587-DC41-4960-A7E8-132FDD571BFB}" name="Column35"/>
    <tableColumn id="57" xr3:uid="{98BC787B-B5F0-430E-A453-B9CBD2EAC929}" name="Column36"/>
    <tableColumn id="58" xr3:uid="{5AECF73D-EFDF-42C1-AD57-97F9FAD604C7}" name="Column37"/>
    <tableColumn id="59" xr3:uid="{4EA5B4B3-A937-4AF9-BE1C-DDC4E46EE368}" name="Column38"/>
    <tableColumn id="60" xr3:uid="{1D4A5DCC-FFD4-493B-A8BD-19C23FD5623F}" name="Column39"/>
    <tableColumn id="61" xr3:uid="{BE5E2826-578D-4720-9553-1741AFB6488F}" name="Column40"/>
    <tableColumn id="62" xr3:uid="{76F7E845-3ED8-4B87-B8D4-B01F4B42659F}" name="Column41"/>
    <tableColumn id="63" xr3:uid="{0AE9D9B0-995E-4727-A463-2A72FE631340}" name="Column42"/>
    <tableColumn id="64" xr3:uid="{D60EB2C7-21D6-4B32-B2E5-BB6CA19A3C5A}" name="Column43"/>
    <tableColumn id="65" xr3:uid="{9EF08555-844C-47C6-9A6C-917233CCD6A9}" name="Column44"/>
    <tableColumn id="66" xr3:uid="{E4DF2484-187F-4177-B792-CA96BF1BE484}" name="Column45"/>
    <tableColumn id="67" xr3:uid="{2037A828-1702-4F01-8498-194A99FE8707}" name="Column46"/>
    <tableColumn id="68" xr3:uid="{401348F2-6746-437C-8475-4163CA4BC78C}" name="Column47"/>
    <tableColumn id="69" xr3:uid="{AB73962E-FDC0-48E8-8A21-8DCB6F95F83C}" name="Column48"/>
    <tableColumn id="70" xr3:uid="{745F1999-41A9-4CA7-A9B0-F4A4323F262F}" name="Column49"/>
    <tableColumn id="71" xr3:uid="{848B1BB4-DDB0-49D7-8035-D8528BFE8E98}" name="Column50"/>
    <tableColumn id="72" xr3:uid="{A46C1330-384C-4776-84D7-6CC29327B996}" name="Column51"/>
    <tableColumn id="73" xr3:uid="{F4E3811A-0212-4C81-B435-74F15EF69D07}" name="Column52"/>
    <tableColumn id="74" xr3:uid="{125EB3F3-D552-48A1-8197-18BC408DF354}" name="Column53"/>
    <tableColumn id="75" xr3:uid="{4A84E115-429A-4FB2-B434-7C77974200D5}" name="Column54"/>
    <tableColumn id="76" xr3:uid="{AE18AB7E-34E2-41E3-AA1B-7C79B2FECC8D}" name="Column55"/>
    <tableColumn id="77" xr3:uid="{D6D130D1-DC84-4A17-A28F-B81C50B157B6}" name="Column56"/>
    <tableColumn id="78" xr3:uid="{C56E6185-7F09-4AEC-81E0-9DCD58A36F66}" name="Column57"/>
    <tableColumn id="79" xr3:uid="{36902929-E0AA-4CD4-B8F9-2CEDB1864D4E}" name="Column58"/>
    <tableColumn id="80" xr3:uid="{62E2354F-2923-4588-B45A-3A67A30C74C7}" name="Column59"/>
    <tableColumn id="81" xr3:uid="{D036DAF3-FA87-4ABD-B932-32526F633CD4}" name="Column60"/>
    <tableColumn id="82" xr3:uid="{ABF27015-3971-40C0-A90B-FD669F30053D}" name="Column61"/>
    <tableColumn id="83" xr3:uid="{154DC954-9F39-41A2-B7BD-24C89F6D48A3}" name="Column62"/>
    <tableColumn id="84" xr3:uid="{2F1EF968-3AF2-4FA8-93E4-CB2FBDCEBDA3}" name="Column63"/>
    <tableColumn id="85" xr3:uid="{1631CF09-E49F-439E-818C-15D915813313}" name="Column64"/>
    <tableColumn id="86" xr3:uid="{D939A7AA-C84C-4D19-9A6B-425EFC599C4F}" name="Column65"/>
    <tableColumn id="87" xr3:uid="{94BC0808-934A-4B7A-9AE0-6F89B8CE6B61}" name="Column66"/>
    <tableColumn id="88" xr3:uid="{23824B38-69CC-4EC7-8AC6-E0D54E4F4A72}" name="Column67"/>
    <tableColumn id="89" xr3:uid="{B8C0060F-B798-4B44-919C-442D6029ED03}" name="Column68"/>
    <tableColumn id="90" xr3:uid="{23CC4E33-138B-4B45-930C-5B53D7343479}" name="Column69"/>
    <tableColumn id="91" xr3:uid="{B0B54C2C-1CF7-476B-816C-3A4DD64C1446}" name="Column70"/>
    <tableColumn id="92" xr3:uid="{6B3AFBD5-CA95-4458-A940-CEF134E23E12}" name="Column71"/>
    <tableColumn id="93" xr3:uid="{0A54473F-997D-4F5C-B4DB-FCE1900325C6}" name="Column72"/>
    <tableColumn id="94" xr3:uid="{B6748A0B-D3C0-4881-89F9-A1282B3EC91F}" name="Column73"/>
    <tableColumn id="95" xr3:uid="{A4EB4C58-C77C-4A8D-954C-B6CD76F2A53E}" name="Column74"/>
    <tableColumn id="96" xr3:uid="{9F76C367-3936-4D22-9F6A-F2C95F7FFBFA}" name="Column75"/>
    <tableColumn id="97" xr3:uid="{FF43CACF-D185-422B-BF0F-50B44DBF1756}" name="Column76"/>
    <tableColumn id="98" xr3:uid="{F3963EC5-239A-4401-B18B-BFDB545E13DA}" name="Column77"/>
    <tableColumn id="99" xr3:uid="{BBE43DF7-680A-4EBB-ABA9-6B8CD4F79EA5}" name="Column78"/>
    <tableColumn id="100" xr3:uid="{F0E376E5-C244-4A44-BC09-935DBC1A78F0}" name="Column79"/>
    <tableColumn id="101" xr3:uid="{48B7AED9-34A6-41C3-9F49-EAC29FCEBDEF}" name="Column80"/>
    <tableColumn id="102" xr3:uid="{E74DE67F-8CA7-4320-AFE8-1735D74435F1}" name="Column81"/>
    <tableColumn id="103" xr3:uid="{5FF7ED5D-503C-4DBB-A888-710605273637}" name="Column82"/>
    <tableColumn id="104" xr3:uid="{B00C1556-C639-4236-B087-8A2C0045C6F6}" name="Column83"/>
    <tableColumn id="105" xr3:uid="{0B443C7C-F124-4949-9FDF-6CE82AA69B5E}" name="Column84"/>
    <tableColumn id="106" xr3:uid="{76209B55-ACD9-46FB-BDA4-67805B9F70E3}" name="Column85"/>
    <tableColumn id="107" xr3:uid="{1DC51965-748C-416B-B584-110D7C2931F1}" name="Column86"/>
    <tableColumn id="108" xr3:uid="{F91E9854-B279-43B2-BC86-4BD64D0B211E}" name="Column87"/>
    <tableColumn id="109" xr3:uid="{E2F3C2F5-AC23-4216-9F68-A493C458C71B}" name="Column88"/>
    <tableColumn id="110" xr3:uid="{CD98D3BE-A151-4D04-9A84-174274F2B29F}" name="Column89"/>
    <tableColumn id="111" xr3:uid="{3EE0D140-2FC5-4851-9C36-E922F3DA6E8F}" name="Column90"/>
    <tableColumn id="112" xr3:uid="{356B4AD1-23F7-4EB9-93E0-40C499AFC1B3}" name="Column91"/>
    <tableColumn id="113" xr3:uid="{5569184F-3070-410C-9208-68D9F4AAA445}" name="Column92"/>
    <tableColumn id="114" xr3:uid="{D05173D9-A103-4445-8BCA-BA68C76638C1}" name="Column93"/>
    <tableColumn id="115" xr3:uid="{BBB340C7-7372-44B6-8DE4-2394CAFC1437}" name="Column94"/>
    <tableColumn id="116" xr3:uid="{30DA5A2A-150B-47D1-8538-6CEED69954F7}" name="Column95"/>
    <tableColumn id="117" xr3:uid="{49D5CEFC-D2AF-4A19-AF9E-45F4907A85DC}" name="Column96"/>
    <tableColumn id="118" xr3:uid="{E028ED4A-57A2-4979-89DD-9EECC21DA40B}" name="Column97"/>
    <tableColumn id="119" xr3:uid="{96B813E3-410A-4B01-A239-86F78FA82E60}" name="Column98"/>
    <tableColumn id="120" xr3:uid="{E7B27A33-8734-4F1F-8699-85BE0548A0AF}" name="Column99"/>
    <tableColumn id="121" xr3:uid="{34FDCE12-6EC6-4813-B09B-BB25B71B2605}" name="Column100"/>
    <tableColumn id="122" xr3:uid="{BF493D19-3D34-49E7-8BE5-A74FF4D40D0F}" name="Column101"/>
    <tableColumn id="123" xr3:uid="{C32D296C-45C4-41CA-8F2A-A6E657843BDA}" name="Column102"/>
    <tableColumn id="124" xr3:uid="{24DB0F9F-8344-423B-B920-7AD19C28453F}" name="Column103"/>
    <tableColumn id="125" xr3:uid="{185F2426-32D9-4259-AA3E-955965166FC9}" name="Column104"/>
    <tableColumn id="126" xr3:uid="{77F01C7E-C231-4105-87CD-DE8BE47BA003}" name="Column105"/>
    <tableColumn id="127" xr3:uid="{C6100FDE-1F85-4A97-ABDA-CD630929720C}" name="Column106"/>
    <tableColumn id="128" xr3:uid="{0260650A-7355-4181-962E-C9E8F9A0E610}" name="Column107"/>
    <tableColumn id="129" xr3:uid="{36AF9465-8EFD-442C-94FA-4180AFDD4844}" name="Column108"/>
    <tableColumn id="130" xr3:uid="{2E77C337-813D-44AE-94CC-AAE09EE25939}" name="Column109"/>
    <tableColumn id="131" xr3:uid="{F9CDEE3D-5899-4A5A-89D6-7D11C3300ADD}" name="Column110"/>
    <tableColumn id="132" xr3:uid="{B05465ED-F658-42EC-841C-F83165BDA65E}" name="Column111"/>
    <tableColumn id="133" xr3:uid="{B899AF75-AD99-44E5-957E-8378F1466BB4}" name="Column112"/>
    <tableColumn id="134" xr3:uid="{8485FEA6-5A36-49E9-86E7-ED2544835C25}" name="Column113"/>
    <tableColumn id="135" xr3:uid="{9F6582C0-3CD4-46A3-A927-46A3513DFA39}" name="Column114"/>
    <tableColumn id="136" xr3:uid="{7D792DCB-B68C-4875-8A86-EE4B71D1F2C0}" name="Column115"/>
    <tableColumn id="137" xr3:uid="{15004E8B-7E22-45FA-9EA8-FAF07F73FA38}" name="Column116"/>
    <tableColumn id="138" xr3:uid="{7B930329-C27F-4587-9309-B81AD1DE1EBC}" name="Column117"/>
    <tableColumn id="139" xr3:uid="{03A1346A-9E9B-46A0-B89C-24E11053BFB5}" name="Column118"/>
    <tableColumn id="140" xr3:uid="{5308B1CA-BC6C-4D1F-B700-E954BD11535D}" name="Column119"/>
    <tableColumn id="141" xr3:uid="{09B00A15-CADD-4420-B979-FDE2D47ECFD5}" name="Column120"/>
    <tableColumn id="142" xr3:uid="{F7DDCC58-1A10-47AB-98C9-BF0654A67A0C}" name="Column121"/>
    <tableColumn id="143" xr3:uid="{A5A8FDC3-9044-4E4F-821F-BA02A2489B62}" name="Column122"/>
    <tableColumn id="144" xr3:uid="{A2120D86-789A-48EE-B201-BABD99C5819D}" name="Column123"/>
    <tableColumn id="145" xr3:uid="{67A2DFE3-3E85-4BF0-8D33-B62622734B7B}" name="Column124"/>
    <tableColumn id="146" xr3:uid="{0F95E106-BBCC-4106-BD1F-AD46739CEDE1}" name="Column125"/>
    <tableColumn id="147" xr3:uid="{7137E601-E3D7-49D7-8A94-1112CA96FBB5}" name="Column126"/>
    <tableColumn id="148" xr3:uid="{AC6C55F8-4B60-48FB-BAD9-DD8756D2FA84}" name="Column127"/>
    <tableColumn id="149" xr3:uid="{D7227F2F-0000-46E7-A91E-5983F618B331}" name="Column128"/>
    <tableColumn id="150" xr3:uid="{61536C3F-A0BA-4D97-810D-1B85EB0B9E5A}" name="Column129"/>
    <tableColumn id="151" xr3:uid="{9B5829FC-ACA3-4DC9-AB54-EF993EB8638F}" name="Column130"/>
    <tableColumn id="152" xr3:uid="{07F778E3-3461-4CF7-B099-22F688C032D6}" name="Column131"/>
    <tableColumn id="153" xr3:uid="{AF3DD02D-B741-4C34-BC6F-E0D0E3B3CB1E}" name="Column132"/>
    <tableColumn id="154" xr3:uid="{CAA0EE8B-60BE-4E5F-92F5-DFB03B409133}" name="Column133"/>
    <tableColumn id="155" xr3:uid="{F300DECA-44E7-421B-8D05-0734F1C8C35B}" name="Column134"/>
    <tableColumn id="156" xr3:uid="{CEED61C8-CBEF-4DDB-9BC3-0DF7D99CDCAD}" name="Column135"/>
    <tableColumn id="157" xr3:uid="{B4798485-41FF-4A43-B71C-389BDEF48744}" name="Column136"/>
    <tableColumn id="158" xr3:uid="{5F666463-22ED-45F7-B1B8-B892B5EBAEAF}" name="Column137"/>
    <tableColumn id="159" xr3:uid="{B4033B63-E1E2-4192-BDDD-03586EC85587}" name="Column138"/>
    <tableColumn id="160" xr3:uid="{B1834970-6B1C-4AB5-AB16-1A730CCDB099}" name="Column139"/>
    <tableColumn id="161" xr3:uid="{94321FE8-A000-4524-9F21-EC53991CEE80}" name="Column140"/>
    <tableColumn id="162" xr3:uid="{67E904A1-36C0-4C8C-A82F-8A00FA99034A}" name="Column141"/>
    <tableColumn id="163" xr3:uid="{5EBF8779-7E73-41A8-A17D-91E1E0044A3B}" name="Column142"/>
    <tableColumn id="164" xr3:uid="{E3D82D0C-BE07-4124-A14C-3D172275DC60}" name="Column143"/>
    <tableColumn id="165" xr3:uid="{B18408B5-7F28-4DF6-9DEF-06A59DDB5D37}" name="Column144"/>
    <tableColumn id="166" xr3:uid="{06986C87-3285-470B-A4FE-52A3C8099149}" name="Column145"/>
    <tableColumn id="167" xr3:uid="{7F166B1C-3375-4D67-A093-8DBC00E65C87}" name="Column146"/>
    <tableColumn id="168" xr3:uid="{0D8363AB-1EF3-40A0-966B-7DFBD616E1E1}" name="Column147"/>
    <tableColumn id="169" xr3:uid="{33DBF416-F9A9-45DF-9D83-E4A7EC4FF00A}" name="Column148"/>
    <tableColumn id="170" xr3:uid="{890778FA-13F8-445C-9CFD-F6A1AB458B94}" name="Column149"/>
    <tableColumn id="171" xr3:uid="{B92078A5-27A8-4C2C-B276-C393DE89007F}" name="Column150"/>
    <tableColumn id="172" xr3:uid="{34F19095-DF72-4BC8-B768-DEC1BA6D7CC5}" name="Column151"/>
    <tableColumn id="173" xr3:uid="{175401EE-2D4B-44F1-9514-761410D7F30C}" name="Column152"/>
    <tableColumn id="174" xr3:uid="{29071BBB-87B9-4329-92EA-0301768569F4}" name="Column153"/>
    <tableColumn id="175" xr3:uid="{9587AC9B-79C7-4BA2-95B9-A001367E7865}" name="Column154"/>
    <tableColumn id="176" xr3:uid="{9BBBFF95-2CBB-4CF9-9A9C-C74990D56E01}" name="Column155"/>
    <tableColumn id="177" xr3:uid="{CFADF56C-D357-4C9F-B69A-0A605C56603C}" name="Column156"/>
    <tableColumn id="178" xr3:uid="{A3F8D74E-3DB3-4968-8B88-575A6A76C250}" name="Column157"/>
    <tableColumn id="179" xr3:uid="{CB91DF66-ECC4-4AF5-A3CF-6B8C1130D793}" name="Column158"/>
    <tableColumn id="180" xr3:uid="{67B9B911-4139-43DD-8A19-7A86069EAE80}" name="Column159"/>
    <tableColumn id="181" xr3:uid="{D3F232CF-4D39-4DF8-BFCE-514822A765EB}" name="Column160"/>
    <tableColumn id="182" xr3:uid="{C38927C9-610B-4CE2-B96B-A1D8650820E1}" name="Column161"/>
    <tableColumn id="183" xr3:uid="{C084B668-B72F-4C41-89AF-D60E79F3DE34}" name="Column162"/>
    <tableColumn id="184" xr3:uid="{35852F08-B8FB-4E10-9351-E6399EE9FA16}" name="Column163"/>
    <tableColumn id="185" xr3:uid="{D57DC613-CECA-4ECE-97B2-CFD00D4710D6}" name="Column164"/>
    <tableColumn id="186" xr3:uid="{EFB6A639-892D-4496-BEAF-00ED0401D797}" name="Column165"/>
    <tableColumn id="187" xr3:uid="{E61F3BE4-4379-4B1F-8DA6-4591973FB7AB}" name="Column166"/>
    <tableColumn id="188" xr3:uid="{056EAB23-3904-4841-9DCF-57A7B89BB247}" name="Column167"/>
    <tableColumn id="189" xr3:uid="{35DED538-6223-4A0A-8F7B-BAFC3CF67BA6}" name="Column168"/>
    <tableColumn id="190" xr3:uid="{E3B093AA-103C-46C0-94BB-16D39E8F3B80}" name="Column169"/>
    <tableColumn id="191" xr3:uid="{53C18838-2686-46E6-8A41-56A22167FDA2}" name="Column170"/>
    <tableColumn id="192" xr3:uid="{0FC801DA-3489-4639-A5F1-921AB9C09E68}" name="Column171"/>
    <tableColumn id="193" xr3:uid="{5D71D583-8A22-47FE-A87B-D8CEBF076F0B}" name="Column17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5FBE963-7B24-4DF1-9FB1-BABE2E137CB7}" name="__xlnm._FilterDatabase_159" displayName="__xlnm._FilterDatabase_159" ref="A1:W125" totalsRowShown="0">
  <autoFilter ref="A1:W125" xr:uid="{3036655D-CB54-4FC3-B078-F2E49AB008AC}"/>
  <sortState xmlns:xlrd2="http://schemas.microsoft.com/office/spreadsheetml/2017/richdata2" ref="A2:W125">
    <sortCondition ref="A1:A125"/>
  </sortState>
  <tableColumns count="23">
    <tableColumn id="1" xr3:uid="{0C909A50-4E22-4A76-8066-BB643AFD3707}" name="Club Ranking"/>
    <tableColumn id="2" xr3:uid="{FAF7F414-34CA-48F2-A654-B6C3DDD0CF13}" name="SAPSA Number" dataDxfId="80"/>
    <tableColumn id="23" xr3:uid="{A569BB55-4855-4222-88AC-5915AF4F1A70}" name="Paid up" dataDxfId="79" dataCellStyle="Excel Built-in Normal">
      <calculatedColumnFormula>_xlfn.XLOOKUP(__xlnm._FilterDatabase_159[[#This Row],[SAPSA Number]],Table1[SAPSA number],Table1[Paid up])</calculatedColumnFormula>
    </tableColumn>
    <tableColumn id="3" xr3:uid="{120EDAD6-A703-4F4F-A470-D267ABB5CBC6}" name="Name" dataDxfId="78"/>
    <tableColumn id="4" xr3:uid="{162F6117-7EAE-47C0-AA21-063165DD0758}" name="Surname" dataDxfId="77"/>
    <tableColumn id="5" xr3:uid="{13F45042-475E-4F6C-8437-3E478BAE73E1}" name="Initials" dataDxfId="76"/>
    <tableColumn id="6" xr3:uid="{DF86C6C3-4D2C-4725-858E-4B72CAC99BD0}" name="Tag" dataDxfId="75">
      <calculatedColumnFormula>_xlfn.XLOOKUP(__xlnm._FilterDatabase_159[[#This Row],[SAPSA Number]],#REF!,#REF!)</calculatedColumnFormula>
    </tableColumn>
    <tableColumn id="7" xr3:uid="{D0EFF48D-E389-423C-B6D5-54AC6DD64DBC}" name="Age" dataDxfId="74">
      <calculatedColumnFormula>_xlfn.XLOOKUP(__xlnm._FilterDatabase_159[[#This Row],[SAPSA Number]],#REF!,#REF!)</calculatedColumnFormula>
    </tableColumn>
    <tableColumn id="8" xr3:uid="{CFA42374-B03D-4743-94E9-01B470A737AF}" name="Division"/>
    <tableColumn id="9" xr3:uid="{A6A1DD4C-0992-4FE6-AA02-EB63FB776420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94DEE510-8403-49D4-9AAB-F3D908CD0B75}" name="Resuls" dataDxfId="73">
      <calculatedColumnFormula>(LARGE(L2:U2,1)+LARGE(L2:U2,2)+LARGE(L2:U2,3)+LARGE(L2:U2,4)+LARGE(L2:U2,5))/5</calculatedColumnFormula>
    </tableColumn>
    <tableColumn id="11" xr3:uid="{FEF48659-14F0-4540-8381-FF3743D6148D}" name="Jan"/>
    <tableColumn id="12" xr3:uid="{5D67A429-060B-4F2A-8AC2-0CF464C326B4}" name="Feb"/>
    <tableColumn id="13" xr3:uid="{9C42DA6B-D8BB-4C3B-BB8A-9BDF62E8F461}" name="Mar"/>
    <tableColumn id="14" xr3:uid="{84CE8F41-886A-4DA4-B8E2-57B609542050}" name="Apr"/>
    <tableColumn id="15" xr3:uid="{24BA8DC2-7E64-48D6-AB1A-1C7B2134AE68}" name="May"/>
    <tableColumn id="16" xr3:uid="{A9C61CBF-C34E-437B-BFB0-63A0A9AA7A3E}" name="Jun"/>
    <tableColumn id="17" xr3:uid="{AEAE83E1-6C97-4D01-90D0-A46627C7E489}" name="Jul"/>
    <tableColumn id="18" xr3:uid="{C4CDC805-162A-47E7-8208-0BB232CC652F}" name="Aug"/>
    <tableColumn id="19" xr3:uid="{7F33458F-EF28-46BB-8B03-DF375036008B}" name="Sep"/>
    <tableColumn id="20" xr3:uid="{9C6AE737-02ED-47BA-9AD7-74D32AA5B42E}" name="Oct"/>
    <tableColumn id="21" xr3:uid="{C537CDA6-A61B-44CB-B903-8A3EBA7F1C11}" name="Nov"/>
    <tableColumn id="22" xr3:uid="{5C4E1FF4-9ABD-467C-BC1F-20A2FE9DB280}" name="Dec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98CF379-7576-4008-9737-EF63C1108EA5}" name="__xlnm._FilterDatabase_1510" displayName="__xlnm._FilterDatabase_1510" ref="A1:W136" totalsRowShown="0">
  <autoFilter ref="A1:W136" xr:uid="{BB3AE806-5B13-4B6F-80A9-A7789AC716CB}"/>
  <sortState xmlns:xlrd2="http://schemas.microsoft.com/office/spreadsheetml/2017/richdata2" ref="A2:W136">
    <sortCondition ref="A1:A136"/>
  </sortState>
  <tableColumns count="23">
    <tableColumn id="1" xr3:uid="{ED20F3B4-D0D7-42B6-83A2-832DE2D0ACBC}" name="Club Ranking"/>
    <tableColumn id="2" xr3:uid="{3257A239-34B2-4F0A-B91A-27728F6A7D08}" name="SAPSA Number" dataDxfId="72"/>
    <tableColumn id="23" xr3:uid="{51CEEF88-80FE-471C-A183-7044867BF2FF}" name="Paid up" dataDxfId="71" dataCellStyle="Excel Built-in Normal">
      <calculatedColumnFormula>_xlfn.XLOOKUP(__xlnm._FilterDatabase_1510[[#This Row],[SAPSA Number]],Table1[SAPSA number],Table1[Paid up])</calculatedColumnFormula>
    </tableColumn>
    <tableColumn id="3" xr3:uid="{3ECA57B6-2F5A-4FF1-9F97-ECCBFEC5EBD0}" name="Name" dataDxfId="70">
      <calculatedColumnFormula>_xlfn.XLOOKUP(__xlnm._FilterDatabase_1510[[#This Row],[SAPSA Number]],Table1[SAPSA number],Table1[Name])</calculatedColumnFormula>
    </tableColumn>
    <tableColumn id="4" xr3:uid="{98B91171-0849-42B8-BEE6-5ECA2C8D758A}" name="Surname" dataDxfId="69">
      <calculatedColumnFormula>_xlfn.XLOOKUP(__xlnm._FilterDatabase_1510[[#This Row],[SAPSA Number]],Table1[SAPSA number],Table1[Surname])</calculatedColumnFormula>
    </tableColumn>
    <tableColumn id="5" xr3:uid="{355039D9-B7F0-4104-82FC-E2EB0EAA90D9}" name="Initials" dataDxfId="68">
      <calculatedColumnFormula>_xlfn.XLOOKUP(__xlnm._FilterDatabase_1510[[#This Row],[SAPSA Number]],Table1[SAPSA number],Table1[Initials])</calculatedColumnFormula>
    </tableColumn>
    <tableColumn id="6" xr3:uid="{6FDCE0D8-1E6D-44BE-B53B-6316287C98F9}" name="Tag" dataDxfId="67">
      <calculatedColumnFormula>_xlfn.XLOOKUP(__xlnm._FilterDatabase_1510[[#This Row],[SAPSA Number]],Table1[SAPSA number],Table1[Gender])</calculatedColumnFormula>
    </tableColumn>
    <tableColumn id="7" xr3:uid="{9B46FE12-304A-4877-A267-BF0AA36E5277}" name="Age" dataDxfId="66"/>
    <tableColumn id="8" xr3:uid="{567F5568-BC99-4237-A146-09DFDE9E4B46}" name="Division"/>
    <tableColumn id="9" xr3:uid="{0FA25C4A-16F8-4E35-92AA-74CFC1062125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2B0C71BB-BAA6-494A-8EEC-8234C6EAEB7E}" name="Resuls" dataDxfId="65">
      <calculatedColumnFormula>(LARGE(L2:V2,1)+LARGE(L2:V2,2)+LARGE(L2:V2,3)+LARGE(L2:V2,4)+LARGE(L2:V2,5))/5</calculatedColumnFormula>
    </tableColumn>
    <tableColumn id="11" xr3:uid="{A8C3165C-AAAB-4239-AFE4-80B50FC9BAFF}" name="Jan"/>
    <tableColumn id="12" xr3:uid="{325CDC02-F900-4D19-A278-3569ADF93A5A}" name="Feb"/>
    <tableColumn id="13" xr3:uid="{857160D4-E6FB-4B6B-8809-C8D3ADBBF97C}" name="Mar"/>
    <tableColumn id="14" xr3:uid="{3591678F-0DC5-44C7-94EB-55C7BA355361}" name="Apr"/>
    <tableColumn id="15" xr3:uid="{AED07A1A-E75A-48FA-BFF4-F6E33BFAFC44}" name="May"/>
    <tableColumn id="16" xr3:uid="{87663F47-384F-4DDD-8EF2-CAC4719BD4C1}" name="Jun"/>
    <tableColumn id="17" xr3:uid="{9F28F3F2-E4DC-4609-8D8C-3C0ABB310B16}" name="Jul"/>
    <tableColumn id="18" xr3:uid="{1955F5A7-9CE2-4BA0-A669-0F89D156663C}" name="Aug"/>
    <tableColumn id="19" xr3:uid="{A76BFA62-51B2-4E8A-9BA7-D52406A6ABFA}" name="Sep"/>
    <tableColumn id="20" xr3:uid="{558257A8-16D3-4AEA-ABBE-AC738DDAE755}" name="Oct"/>
    <tableColumn id="21" xr3:uid="{2BDB8809-D72B-4475-8ECE-217631872D83}" name="Nov"/>
    <tableColumn id="22" xr3:uid="{1AA40F00-05C6-4CAF-9C5C-F63615882264}" name="Dec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E2869E8-7A45-4039-A5CA-DF80390E4C7C}" name="__xlnm._FilterDatabase_1511" displayName="__xlnm._FilterDatabase_1511" ref="A1:W124" totalsRowShown="0">
  <autoFilter ref="A1:W124" xr:uid="{BD931477-3CB9-49AA-B03B-1BE056B24DE5}"/>
  <sortState xmlns:xlrd2="http://schemas.microsoft.com/office/spreadsheetml/2017/richdata2" ref="A2:W124">
    <sortCondition ref="A1:A124"/>
  </sortState>
  <tableColumns count="23">
    <tableColumn id="1" xr3:uid="{F134C134-93BD-45AA-B018-85565810A437}" name="Club Ranking"/>
    <tableColumn id="2" xr3:uid="{0C63BE64-84F4-44A9-9078-08D8D19B2741}" name="SAPSA Number" dataDxfId="64"/>
    <tableColumn id="23" xr3:uid="{42612583-47A8-408C-B71E-8D7471C56736}" name="Paid up" dataDxfId="63" dataCellStyle="Excel Built-in Normal">
      <calculatedColumnFormula>_xlfn.XLOOKUP(__xlnm._FilterDatabase_1511[[#This Row],[SAPSA Number]],Table1[SAPSA number],Table1[Paid up])</calculatedColumnFormula>
    </tableColumn>
    <tableColumn id="3" xr3:uid="{A87AF142-0089-4C1A-935A-220B91D72A90}" name="Name" dataDxfId="62">
      <calculatedColumnFormula>_xlfn.XLOOKUP(__xlnm._FilterDatabase_1511[[#This Row],[SAPSA Number]],Table1[SAPSA number],Table1[Name])</calculatedColumnFormula>
    </tableColumn>
    <tableColumn id="4" xr3:uid="{D5CF6C1A-F4D3-4B4E-BB14-C95E5569E8A3}" name="Surname" dataDxfId="61">
      <calculatedColumnFormula>_xlfn.XLOOKUP(__xlnm._FilterDatabase_1511[[#This Row],[SAPSA Number]],Table1[SAPSA number],Table1[Surname])</calculatedColumnFormula>
    </tableColumn>
    <tableColumn id="5" xr3:uid="{3832A391-EFE2-4A3E-BEAF-810D21E9CDEB}" name="Initials" dataDxfId="60">
      <calculatedColumnFormula>_xlfn.XLOOKUP(__xlnm._FilterDatabase_1511[[#This Row],[SAPSA Number]],Table1[SAPSA number],Table1[Initials])</calculatedColumnFormula>
    </tableColumn>
    <tableColumn id="6" xr3:uid="{C3C4AA23-6031-4D80-8BC8-D7B7718CB577}" name="Tag" dataDxfId="59">
      <calculatedColumnFormula>_xlfn.XLOOKUP(__xlnm._FilterDatabase_1511[[#This Row],[SAPSA Number]],Table1[SAPSA number],Table1[Gender])</calculatedColumnFormula>
    </tableColumn>
    <tableColumn id="7" xr3:uid="{74CCAE07-6C53-4BCF-AA83-1C448F3D7C1B}" name="Age" dataDxfId="58">
      <calculatedColumnFormula>_xlfn.XLOOKUP(__xlnm._FilterDatabase_1511[[#This Row],[SAPSA Number]],#REF!,#REF!)</calculatedColumnFormula>
    </tableColumn>
    <tableColumn id="8" xr3:uid="{D01234D9-F7A1-4A79-9DBA-60678BF036ED}" name="Division"/>
    <tableColumn id="9" xr3:uid="{B84FE9F0-0CD9-41D3-8BC9-6DF8B627121D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77C40FD3-7997-4FB7-A03D-F69E4D4A39C1}" name="Resuls" dataDxfId="57">
      <calculatedColumnFormula>(LARGE(L2:U2,1)+LARGE(L2:U2,2)+LARGE(L2:U2,3)+LARGE(L2:U2,4)+LARGE(L2:U2,5))/5</calculatedColumnFormula>
    </tableColumn>
    <tableColumn id="11" xr3:uid="{2FBCDB4E-70D1-4A19-B9D6-FD88CF88BB73}" name="Jan"/>
    <tableColumn id="12" xr3:uid="{31DDF0DA-9837-4097-B78C-C88D874D9513}" name="Feb"/>
    <tableColumn id="13" xr3:uid="{6826BA4D-73DD-4DEC-99AC-1B9D9EE4682C}" name="Mar"/>
    <tableColumn id="14" xr3:uid="{8F29E2AD-CA7A-4C0E-AA30-C942A4533926}" name="Apr"/>
    <tableColumn id="15" xr3:uid="{2FD7AFF0-6F43-4D6A-AED0-D7461D247C4E}" name="May"/>
    <tableColumn id="16" xr3:uid="{4E035B9F-3C90-40FA-A293-4957FA190A51}" name="Jun"/>
    <tableColumn id="17" xr3:uid="{99DDACFA-45AF-4264-AB5E-55869AC5207F}" name="Jul"/>
    <tableColumn id="18" xr3:uid="{C15A7AE1-2145-426F-91A9-FB29E1AE4A2A}" name="Aug"/>
    <tableColumn id="19" xr3:uid="{2FA08143-2402-4D59-9D40-437CAB74EFD0}" name="Sep"/>
    <tableColumn id="20" xr3:uid="{DD6C6BD2-DFCD-4A58-9899-6F88D1178958}" name="Oct"/>
    <tableColumn id="21" xr3:uid="{779262EC-247D-428E-9D7C-FA523E8ED245}" name="Nov"/>
    <tableColumn id="22" xr3:uid="{6BC4032C-F577-46DA-BD97-AF7771E38191}" name="Dec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7DD135A-7402-49CE-969A-B4CAC3EF71A1}" name="__xlnm._FilterDatabase_1512" displayName="__xlnm._FilterDatabase_1512" ref="A1:W134" totalsRowShown="0">
  <autoFilter ref="A1:W134" xr:uid="{1AE84E73-0415-4A9A-B31F-8381B73B4138}"/>
  <sortState xmlns:xlrd2="http://schemas.microsoft.com/office/spreadsheetml/2017/richdata2" ref="A2:W134">
    <sortCondition ref="A1:A134"/>
  </sortState>
  <tableColumns count="23">
    <tableColumn id="1" xr3:uid="{0EAF9EC1-ABEA-4142-B701-CD751501F88A}" name="Club Ranking"/>
    <tableColumn id="2" xr3:uid="{7C232C10-04CE-4B23-9156-CC5AD57B30A7}" name="SAPSA Number" dataDxfId="56"/>
    <tableColumn id="23" xr3:uid="{79650E92-D8DA-46E1-994B-5460AEDC34F7}" name="Paid up" dataDxfId="55" dataCellStyle="Excel Built-in Normal">
      <calculatedColumnFormula>_xlfn.XLOOKUP(__xlnm._FilterDatabase_1512[[#This Row],[SAPSA Number]],Table1[SAPSA number],Table1[Paid up])</calculatedColumnFormula>
    </tableColumn>
    <tableColumn id="3" xr3:uid="{07F6A422-F76E-408C-BE3F-98807A528B0E}" name="Name" dataDxfId="54">
      <calculatedColumnFormula>_xlfn.XLOOKUP(__xlnm._FilterDatabase_1512[[#This Row],[SAPSA Number]],Table1[SAPSA number],Table1[Name])</calculatedColumnFormula>
    </tableColumn>
    <tableColumn id="4" xr3:uid="{F9C55386-2EF1-4ED3-ACED-A5E7074A5E50}" name="Surname" dataDxfId="53">
      <calculatedColumnFormula>_xlfn.XLOOKUP(__xlnm._FilterDatabase_1512[[#This Row],[SAPSA Number]],Table1[SAPSA number],Table1[Surname])</calculatedColumnFormula>
    </tableColumn>
    <tableColumn id="5" xr3:uid="{55D550C1-4281-464B-AA2E-8A1D914B955E}" name="Initials" dataDxfId="52">
      <calculatedColumnFormula>_xlfn.XLOOKUP(__xlnm._FilterDatabase_1512[[#This Row],[SAPSA Number]],Table1[SAPSA number],Table1[Initials])</calculatedColumnFormula>
    </tableColumn>
    <tableColumn id="6" xr3:uid="{099C052F-F4D9-4A49-9E1D-29D1DAAC84EC}" name="Tag" dataDxfId="51">
      <calculatedColumnFormula>_xlfn.XLOOKUP(__xlnm._FilterDatabase_1512[[#This Row],[SAPSA Number]],Table1[SAPSA number],Table1[Gender])</calculatedColumnFormula>
    </tableColumn>
    <tableColumn id="7" xr3:uid="{8F4AC686-860F-45EC-B237-5C49A23F5BDA}" name="Age" dataDxfId="50">
      <calculatedColumnFormula>_xlfn.XLOOKUP(__xlnm._FilterDatabase_1512[[#This Row],[SAPSA Number]],#REF!,#REF!)</calculatedColumnFormula>
    </tableColumn>
    <tableColumn id="8" xr3:uid="{2B5FA3CF-7EBA-4845-8697-6124ACEA681C}" name="Division"/>
    <tableColumn id="9" xr3:uid="{83DAEE27-5368-4554-AB22-E9DBB494E58D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7D80D9C8-6A2C-49CB-8533-04679DE93725}" name="Resuls" dataDxfId="49">
      <calculatedColumnFormula>(LARGE(L2:U2,1)+LARGE(L2:U2,2)+LARGE(L2:U2,3)+LARGE(L2:U2,4)+LARGE(L2:U2,5))/5</calculatedColumnFormula>
    </tableColumn>
    <tableColumn id="11" xr3:uid="{E7741137-ED0A-4E70-90D3-8ABCD4F03CDA}" name="Jan"/>
    <tableColumn id="12" xr3:uid="{BAC9E5B9-97BA-4732-BE92-98CC2DD79702}" name="Feb"/>
    <tableColumn id="13" xr3:uid="{0C51F6A3-BFAF-47FB-9AC7-4FDF7884250E}" name="Mar"/>
    <tableColumn id="14" xr3:uid="{909D1BE8-0DCA-48BB-BB6A-088FDC2AE823}" name="Apr"/>
    <tableColumn id="15" xr3:uid="{66544987-5B4B-49A0-8552-A4C776338083}" name="May"/>
    <tableColumn id="16" xr3:uid="{98CDD72F-2623-4F9D-93BC-144B58A2193D}" name="Jun"/>
    <tableColumn id="17" xr3:uid="{28070B65-2ED1-4912-8C8B-75EF798383D1}" name="Jul"/>
    <tableColumn id="18" xr3:uid="{55022FE3-80A5-4443-A06C-1BF18A0B1546}" name="Aug"/>
    <tableColumn id="19" xr3:uid="{ED15AE6C-6168-4A69-9C92-D1B496928B7F}" name="Sep"/>
    <tableColumn id="20" xr3:uid="{92B1629C-9C21-46E0-B4D6-DC1D5550D944}" name="Oct"/>
    <tableColumn id="21" xr3:uid="{BE23D8C9-4C15-4F05-B8EE-E57236AE8A3A}" name="Nov"/>
    <tableColumn id="22" xr3:uid="{9C89736A-3387-4445-8DA1-1C46C130AA4C}" name="Dec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68E9DD0-11E3-46D0-BF21-5E9883132842}" name="__xlnm._FilterDatabase_1514" displayName="__xlnm._FilterDatabase_1514" ref="A1:W123" totalsRowShown="0">
  <autoFilter ref="A1:W123" xr:uid="{D4480D7F-C5D5-4CE3-9BA5-9DCEC5AE6F55}"/>
  <sortState xmlns:xlrd2="http://schemas.microsoft.com/office/spreadsheetml/2017/richdata2" ref="A2:W123">
    <sortCondition ref="A1:A123"/>
  </sortState>
  <tableColumns count="23">
    <tableColumn id="1" xr3:uid="{0BC9457B-A571-4D6A-807E-41335CDFCD01}" name="Club Ranking"/>
    <tableColumn id="2" xr3:uid="{CF259DB4-622E-4A2B-AC69-37EA09C5E244}" name="SAPSA Number" dataDxfId="48"/>
    <tableColumn id="23" xr3:uid="{5CC6C388-D945-48D1-BB9D-9B96EB82B0E4}" name="Paid up" dataDxfId="47" dataCellStyle="Excel Built-in Normal">
      <calculatedColumnFormula>_xlfn.XLOOKUP(__xlnm._FilterDatabase_1514[[#This Row],[SAPSA Number]],Table1[SAPSA number],Table1[Paid up])</calculatedColumnFormula>
    </tableColumn>
    <tableColumn id="3" xr3:uid="{BE963554-2BB3-44C2-A35F-D0553DF8537E}" name="Name" dataDxfId="46">
      <calculatedColumnFormula>_xlfn.XLOOKUP(__xlnm._FilterDatabase_1514[[#This Row],[SAPSA Number]],Table1[SAPSA number],Table1[Name])</calculatedColumnFormula>
    </tableColumn>
    <tableColumn id="4" xr3:uid="{87146BEC-BCAB-4566-A29B-C113706CDA88}" name="Surname" dataDxfId="45">
      <calculatedColumnFormula>_xlfn.XLOOKUP(__xlnm._FilterDatabase_1514[[#This Row],[SAPSA Number]],Table1[SAPSA number],Table1[Surname])</calculatedColumnFormula>
    </tableColumn>
    <tableColumn id="5" xr3:uid="{9AD72E7A-D84F-4D6D-984A-61CCFB3418DB}" name="Initials" dataDxfId="44">
      <calculatedColumnFormula>_xlfn.XLOOKUP(__xlnm._FilterDatabase_1514[[#This Row],[SAPSA Number]],Table1[SAPSA number],Table1[Initials])</calculatedColumnFormula>
    </tableColumn>
    <tableColumn id="6" xr3:uid="{C03CCD29-9348-459A-970E-78356266B3CA}" name="Tag" dataDxfId="43">
      <calculatedColumnFormula>_xlfn.XLOOKUP(__xlnm._FilterDatabase_1514[[#This Row],[SAPSA Number]],Table1[SAPSA number],Table1[Gender])</calculatedColumnFormula>
    </tableColumn>
    <tableColumn id="7" xr3:uid="{AA536F69-C0AA-4C67-B664-7B45108D419D}" name="Age" dataDxfId="42">
      <calculatedColumnFormula>_xlfn.XLOOKUP(__xlnm._FilterDatabase_1514[[#This Row],[SAPSA Number]],#REF!,#REF!)</calculatedColumnFormula>
    </tableColumn>
    <tableColumn id="8" xr3:uid="{0210A5C3-D128-49DA-A920-40E0A6897539}" name="Division"/>
    <tableColumn id="9" xr3:uid="{3EFD2802-2358-4AE2-BB61-0EC25E7F0491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6EFDEC88-92B5-47CE-A4E6-6EF93A24C35C}" name="Resuls" dataDxfId="41">
      <calculatedColumnFormula>(LARGE(L2:U2,1)+LARGE(L2:U2,2)+LARGE(L2:U2,3)+LARGE(L2:U2,4)+LARGE(L2:U2,5))/5</calculatedColumnFormula>
    </tableColumn>
    <tableColumn id="11" xr3:uid="{12CE2908-8A71-44C4-9312-F8463B009A7C}" name="Jan"/>
    <tableColumn id="12" xr3:uid="{14973D4D-6797-4647-9DD4-1CF2E6B04022}" name="Feb"/>
    <tableColumn id="13" xr3:uid="{6F950972-1479-4E45-A06B-C0423CFAD5F3}" name="Mar"/>
    <tableColumn id="14" xr3:uid="{DBE5B056-E183-44C8-B1F6-5A0711F6FD8D}" name="Apr"/>
    <tableColumn id="15" xr3:uid="{3DBE5039-E527-4383-A057-F84E2EDA4CB4}" name="May"/>
    <tableColumn id="16" xr3:uid="{A74E0E89-BC25-4F01-ADE4-21159640A7B5}" name="Jun"/>
    <tableColumn id="17" xr3:uid="{1A4B2D71-3D6E-4270-BD4B-DB23DD222738}" name="Jul"/>
    <tableColumn id="18" xr3:uid="{185F38E9-CE06-420C-94CB-21E06A0C73AB}" name="Aug"/>
    <tableColumn id="19" xr3:uid="{E739B473-17D7-4319-8FDF-EB385DA4F78F}" name="Sep"/>
    <tableColumn id="20" xr3:uid="{D136D75A-9962-4DA9-9166-67C68D872C4A}" name="Oct"/>
    <tableColumn id="21" xr3:uid="{E0ABCED3-81AD-4DF0-99C7-ADDB4C756DE9}" name="Nov"/>
    <tableColumn id="22" xr3:uid="{13DB0D5F-9DB7-4074-BAC8-F21445D345CA}" name="Dec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0AD7662-6AC7-45D4-BA6E-219A4AA25FB2}" name="__xlnm._FilterDatabase_1513" displayName="__xlnm._FilterDatabase_1513" ref="A1:W122" totalsRowShown="0">
  <autoFilter ref="A1:W122" xr:uid="{CCE0D801-8ACB-4AE3-A470-467074411704}"/>
  <sortState xmlns:xlrd2="http://schemas.microsoft.com/office/spreadsheetml/2017/richdata2" ref="A2:W122">
    <sortCondition ref="A1:A122"/>
  </sortState>
  <tableColumns count="23">
    <tableColumn id="1" xr3:uid="{B6555D9A-DE80-483A-82EC-D497C576B0E6}" name="Club Ranking">
      <calculatedColumnFormula>RANK(K2,K$2:K$135,0)</calculatedColumnFormula>
    </tableColumn>
    <tableColumn id="2" xr3:uid="{F20F4A79-FDE1-4201-9DC9-5E7826A39850}" name="SAPSA Number" dataDxfId="40"/>
    <tableColumn id="23" xr3:uid="{9F269490-4659-46A1-A5FF-B792D9AEBF3D}" name="Paid up" dataDxfId="39" dataCellStyle="Excel Built-in Normal">
      <calculatedColumnFormula>_xlfn.XLOOKUP(__xlnm._FilterDatabase_1513[[#This Row],[SAPSA Number]],Table1[SAPSA number],Table1[Paid up])</calculatedColumnFormula>
    </tableColumn>
    <tableColumn id="3" xr3:uid="{7C066432-EAA5-4194-9911-B65576190CF5}" name="Name" dataDxfId="38">
      <calculatedColumnFormula>_xlfn.XLOOKUP(__xlnm._FilterDatabase_1513[[#This Row],[SAPSA Number]],Table1[SAPSA number],Table1[Name])</calculatedColumnFormula>
    </tableColumn>
    <tableColumn id="4" xr3:uid="{BF6B0357-1398-4363-961F-8AB1F55505A1}" name="Surname" dataDxfId="37">
      <calculatedColumnFormula>_xlfn.XLOOKUP(__xlnm._FilterDatabase_1513[[#This Row],[SAPSA Number]],Table1[SAPSA number],Table1[Surname])</calculatedColumnFormula>
    </tableColumn>
    <tableColumn id="5" xr3:uid="{864C8980-0EDA-4609-A8A7-AD7B54265B05}" name="Initials" dataDxfId="36">
      <calculatedColumnFormula>_xlfn.XLOOKUP(__xlnm._FilterDatabase_1513[[#This Row],[SAPSA Number]],Table1[SAPSA number],Table1[Initials])</calculatedColumnFormula>
    </tableColumn>
    <tableColumn id="6" xr3:uid="{2C0ABAC9-D6B4-40DD-836D-506E1AC88950}" name="Tag" dataDxfId="35">
      <calculatedColumnFormula>_xlfn.XLOOKUP(__xlnm._FilterDatabase_1513[[#This Row],[SAPSA Number]],Table1[SAPSA number],Table1[Gender])</calculatedColumnFormula>
    </tableColumn>
    <tableColumn id="7" xr3:uid="{72B71A5A-8D60-495F-A8D5-9CBA332156FD}" name="Age" dataDxfId="34">
      <calculatedColumnFormula>_xlfn.XLOOKUP(__xlnm._FilterDatabase_1513[[#This Row],[SAPSA Number]],#REF!,#REF!)</calculatedColumnFormula>
    </tableColumn>
    <tableColumn id="8" xr3:uid="{4C01F1D2-80FB-4AD5-86CF-068FB3FDD8AB}" name="Division"/>
    <tableColumn id="9" xr3:uid="{4A7E6B5A-D8F6-46B9-B6E8-5AC0BB6C0304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D20B24EA-1EF1-4C1B-9D5E-8C73C9251B99}" name="Resuls" dataDxfId="33">
      <calculatedColumnFormula>(LARGE(L2:U2,1)+LARGE(L2:U2,2)+LARGE(L2:U2,3)+LARGE(L2:U2,4)+LARGE(L2:U2,5))/5</calculatedColumnFormula>
    </tableColumn>
    <tableColumn id="11" xr3:uid="{7439891F-E317-4415-9384-BFFF95AC601B}" name="Jan"/>
    <tableColumn id="12" xr3:uid="{483D2137-048A-4304-911F-3893D450B8F4}" name="Feb"/>
    <tableColumn id="13" xr3:uid="{4C0A3D95-5DE0-4635-80BF-B21E2EB57A73}" name="Mar"/>
    <tableColumn id="14" xr3:uid="{CA4F182D-B29F-40A6-83D5-E1E2115513A0}" name="Apr"/>
    <tableColumn id="15" xr3:uid="{AF32E833-0203-4F7E-8015-51098C8E6E40}" name="May"/>
    <tableColumn id="16" xr3:uid="{7A4E4FBE-C64A-43A9-86E6-D0F3C4244CD4}" name="Jun"/>
    <tableColumn id="17" xr3:uid="{6A990D6C-F59B-48D7-8B3E-3E4536A9249E}" name="Jul"/>
    <tableColumn id="18" xr3:uid="{03BA6E39-4205-47DE-B674-3A1CF96ABEF0}" name="Aug"/>
    <tableColumn id="19" xr3:uid="{1A26F359-A7FF-4BDC-8016-5CFEBFC7BA5F}" name="Sep"/>
    <tableColumn id="20" xr3:uid="{E52053EF-9D4A-43A1-806A-B3E155F19E9E}" name="Oct"/>
    <tableColumn id="21" xr3:uid="{D4360FA9-3DB0-44B8-9F63-B51BBEBFBD54}" name="Nov"/>
    <tableColumn id="22" xr3:uid="{2237EC4E-CB9C-49DC-8DF4-ABF1272FB1C7}" name="Dec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786FB9E-AE4E-4F79-BC79-618226BC982D}" name="__xlnm._FilterDatabase_1515" displayName="__xlnm._FilterDatabase_1515" ref="A1:W126" totalsRowShown="0">
  <autoFilter ref="A1:W126" xr:uid="{7FC1ACC7-4CC1-4266-B72C-5A19FAC8AEE2}"/>
  <sortState xmlns:xlrd2="http://schemas.microsoft.com/office/spreadsheetml/2017/richdata2" ref="A2:W126">
    <sortCondition ref="A1:A126"/>
  </sortState>
  <tableColumns count="23">
    <tableColumn id="1" xr3:uid="{6D5A84A1-1A74-49E4-ACC7-AD49D7C123D3}" name="Club Ranking"/>
    <tableColumn id="2" xr3:uid="{0DA2CEF0-5527-4D9D-AFA4-5670B2C93B17}" name="SAPSA Number" dataDxfId="32"/>
    <tableColumn id="23" xr3:uid="{BBA2EF23-B918-4F94-8870-BE71376E6E6E}" name="Paid up" dataDxfId="31" dataCellStyle="Excel Built-in Normal">
      <calculatedColumnFormula>_xlfn.XLOOKUP(__xlnm._FilterDatabase_1515[[#This Row],[SAPSA Number]],Table1[SAPSA number],Table1[Paid up])</calculatedColumnFormula>
    </tableColumn>
    <tableColumn id="3" xr3:uid="{EFB30CF1-A37A-47E4-8017-B411EF879BF4}" name="Name" dataDxfId="30">
      <calculatedColumnFormula>_xlfn.XLOOKUP(__xlnm._FilterDatabase_1515[[#This Row],[SAPSA Number]],Table1[SAPSA number],Table1[Name])</calculatedColumnFormula>
    </tableColumn>
    <tableColumn id="4" xr3:uid="{B6C3899B-3D3F-4DCC-88FB-E685F2C75DB2}" name="Surname" dataDxfId="29">
      <calculatedColumnFormula>_xlfn.XLOOKUP(__xlnm._FilterDatabase_1515[[#This Row],[SAPSA Number]],Table1[SAPSA number],Table1[Surname])</calculatedColumnFormula>
    </tableColumn>
    <tableColumn id="5" xr3:uid="{F1BE9FF4-9CA8-4F19-83A8-CC76FDB20F67}" name="Initials" dataDxfId="28">
      <calculatedColumnFormula>_xlfn.XLOOKUP(__xlnm._FilterDatabase_1515[[#This Row],[SAPSA Number]],Table1[SAPSA number],Table1[Initials])</calculatedColumnFormula>
    </tableColumn>
    <tableColumn id="6" xr3:uid="{F9DC4AB7-AF2E-4306-8075-14CBB9F69118}" name="Tag" dataDxfId="27">
      <calculatedColumnFormula>_xlfn.XLOOKUP(__xlnm._FilterDatabase_1515[[#This Row],[SAPSA Number]],Table1[SAPSA number],Table1[Gender])</calculatedColumnFormula>
    </tableColumn>
    <tableColumn id="7" xr3:uid="{862E2AEE-E675-437B-9826-25D689DD8393}" name="Age" dataDxfId="26">
      <calculatedColumnFormula>_xlfn.XLOOKUP(__xlnm._FilterDatabase_1515[[#This Row],[SAPSA Number]],#REF!,#REF!)</calculatedColumnFormula>
    </tableColumn>
    <tableColumn id="8" xr3:uid="{440B0CFF-6DD4-4845-84AA-FBDB63ABAE1A}" name="Division"/>
    <tableColumn id="9" xr3:uid="{FACFDB28-FF0F-4539-AB7C-55D5778FE46B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24D093F9-D888-4BA6-B496-B405BC393766}" name="Resuls" dataDxfId="25">
      <calculatedColumnFormula>(LARGE(L2:U2,1)+LARGE(L2:U2,2)+LARGE(L2:U2,3)+LARGE(L2:U2,4)+LARGE(L2:U2,5))/5</calculatedColumnFormula>
    </tableColumn>
    <tableColumn id="11" xr3:uid="{5E938BC7-139E-4D74-97E8-848726825379}" name="Jan"/>
    <tableColumn id="12" xr3:uid="{4B46FD65-8C0A-459B-A7F2-359A51E81680}" name="Feb"/>
    <tableColumn id="13" xr3:uid="{ED5FC4F9-1668-4562-8233-BF4DC89B23F9}" name="Mar"/>
    <tableColumn id="14" xr3:uid="{66B2C02A-870B-4E21-A4DC-C5A09B80044C}" name="Apr"/>
    <tableColumn id="15" xr3:uid="{5D1B367E-A85E-43B5-902B-5EFEA3E3BCCC}" name="May"/>
    <tableColumn id="16" xr3:uid="{4D7A8D4D-52CE-401E-9779-25983211297D}" name="Jun"/>
    <tableColumn id="17" xr3:uid="{686BA25C-8176-434A-98AF-F7DD6639C492}" name="Jul"/>
    <tableColumn id="18" xr3:uid="{E8F7BACA-6858-46A6-8955-24199BC8E5ED}" name="Aug"/>
    <tableColumn id="19" xr3:uid="{14C274FC-88FA-4FAC-9916-3FB9B72AC526}" name="Sep"/>
    <tableColumn id="20" xr3:uid="{A4C57001-511C-4E51-A749-252FD32A0AA3}" name="Oct"/>
    <tableColumn id="21" xr3:uid="{77A819C8-4830-4B3A-B999-65AF2DB97125}" name="Nov"/>
    <tableColumn id="22" xr3:uid="{28A13AC1-B432-4098-B199-31E5C3ED7926}" name="Dec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4F61005-2379-4346-AE8D-16D0278BF2E4}" name="__xlnm._FilterDatabase_1516" displayName="__xlnm._FilterDatabase_1516" ref="A1:W127" totalsRowShown="0">
  <autoFilter ref="A1:W127" xr:uid="{7E78175B-8476-401D-98A3-39AB45E9CA8C}"/>
  <sortState xmlns:xlrd2="http://schemas.microsoft.com/office/spreadsheetml/2017/richdata2" ref="A2:W127">
    <sortCondition ref="A1:A127"/>
  </sortState>
  <tableColumns count="23">
    <tableColumn id="1" xr3:uid="{2BD9C74B-3381-487A-B255-824DF1A11767}" name="Club Ranking"/>
    <tableColumn id="2" xr3:uid="{9B474DD4-CBF1-4D8F-9143-F3227217C2FA}" name="SAPSA Number" dataDxfId="24"/>
    <tableColumn id="23" xr3:uid="{9AE66CAB-08EF-4CF9-99D0-B06595711487}" name="Paid up" dataDxfId="23" dataCellStyle="Excel Built-in Normal">
      <calculatedColumnFormula>_xlfn.XLOOKUP(__xlnm._FilterDatabase_1516[[#This Row],[SAPSA Number]],Table1[SAPSA number],Table1[Paid up])</calculatedColumnFormula>
    </tableColumn>
    <tableColumn id="3" xr3:uid="{922EFBCB-A4E6-488D-9485-3DEEDA20B803}" name="Name" dataDxfId="22">
      <calculatedColumnFormula>_xlfn.XLOOKUP(__xlnm._FilterDatabase_1516[[#This Row],[SAPSA Number]],Table1[SAPSA number],Table1[Name])</calculatedColumnFormula>
    </tableColumn>
    <tableColumn id="4" xr3:uid="{2A2CFDD7-33E9-44BA-8BA6-49C2FD010F0A}" name="Surname" dataDxfId="21">
      <calculatedColumnFormula>_xlfn.XLOOKUP(__xlnm._FilterDatabase_1516[[#This Row],[SAPSA Number]],Table1[SAPSA number],Table1[Surname])</calculatedColumnFormula>
    </tableColumn>
    <tableColumn id="5" xr3:uid="{CA056B10-C07C-4A16-82C0-90AF645774CB}" name="Initials" dataDxfId="20">
      <calculatedColumnFormula>_xlfn.XLOOKUP(__xlnm._FilterDatabase_1516[[#This Row],[SAPSA Number]],Table1[SAPSA number],Table1[Initials])</calculatedColumnFormula>
    </tableColumn>
    <tableColumn id="6" xr3:uid="{B1BEAA50-D399-474F-9AFD-238EB871A264}" name="Tag" dataDxfId="19">
      <calculatedColumnFormula>_xlfn.XLOOKUP(__xlnm._FilterDatabase_1516[[#This Row],[SAPSA Number]],Table1[SAPSA number],Table1[Gender])</calculatedColumnFormula>
    </tableColumn>
    <tableColumn id="7" xr3:uid="{811AA6AA-3BEB-4206-9853-473FE583166A}" name="Age" dataDxfId="18">
      <calculatedColumnFormula>_xlfn.XLOOKUP(__xlnm._FilterDatabase_1516[[#This Row],[SAPSA Number]],#REF!,#REF!)</calculatedColumnFormula>
    </tableColumn>
    <tableColumn id="8" xr3:uid="{14BD5067-527E-49E8-8559-3AAEC4092E62}" name="Division"/>
    <tableColumn id="9" xr3:uid="{E0D56B1F-D043-42B8-B671-53314607A8A2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31B7C555-5D71-443D-8620-26F9622A1264}" name="Resuls" dataDxfId="17">
      <calculatedColumnFormula>(LARGE(L2:U2,1)+LARGE(L2:U2,2)+LARGE(L2:U2,3)+LARGE(L2:U2,4)+LARGE(L2:U2,5))/5</calculatedColumnFormula>
    </tableColumn>
    <tableColumn id="11" xr3:uid="{88388F5B-DD32-4BCA-B148-1AA9A6F46E26}" name="Jan"/>
    <tableColumn id="12" xr3:uid="{21ED47D8-DAFC-4050-802D-5D53A660F450}" name="Feb"/>
    <tableColumn id="13" xr3:uid="{574789ED-FD76-4361-BAAF-4F560B1121D1}" name="Mar"/>
    <tableColumn id="14" xr3:uid="{C4C79DD0-3BFF-4939-9A03-3634362D6CFC}" name="Apr"/>
    <tableColumn id="15" xr3:uid="{54053B89-E13D-4923-A6E9-A6A0C4E048E0}" name="May"/>
    <tableColumn id="16" xr3:uid="{9025A24D-7F10-407E-960F-04088B8B0D69}" name="Jun"/>
    <tableColumn id="17" xr3:uid="{4EA367B2-E81A-4FC2-B694-CAE57525EDF7}" name="Jul"/>
    <tableColumn id="18" xr3:uid="{EC6972CC-1F05-4FAE-98FB-0216988D8839}" name="Aug"/>
    <tableColumn id="19" xr3:uid="{1536C502-A815-488B-AE26-59042DE584B3}" name="Sep"/>
    <tableColumn id="20" xr3:uid="{2F4ABD76-67A1-4DD4-9FDB-ADF55C807983}" name="Oct"/>
    <tableColumn id="21" xr3:uid="{64A69FEA-8658-4BBB-9C86-33362E644247}" name="Nov"/>
    <tableColumn id="22" xr3:uid="{31B6CE3D-418B-4AB3-BE6C-A6C55F49DAE3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F585CB9-E558-4046-937E-DA36A8BB7524}" name="Table219" displayName="Table219" ref="A1:AJ100" totalsRowShown="0" headerRowDxfId="189" dataDxfId="187" headerRowBorderDxfId="188" tableBorderDxfId="186">
  <autoFilter ref="A1:AJ100" xr:uid="{6F585CB9-E558-4046-937E-DA36A8BB7524}"/>
  <sortState xmlns:xlrd2="http://schemas.microsoft.com/office/spreadsheetml/2017/richdata2" ref="A2:AJ100">
    <sortCondition ref="A1:A100"/>
  </sortState>
  <tableColumns count="36">
    <tableColumn id="1" xr3:uid="{37C73FEF-D2A1-4192-BF1D-41B7D223B5FC}" name="SAPSA Number" dataDxfId="185"/>
    <tableColumn id="32" xr3:uid="{EC8AA9F1-61F6-42B6-BEA2-FA63FD70544C}" name="Paid up" dataDxfId="184">
      <calculatedColumnFormula>_xlfn.XLOOKUP(Table219[[#This Row],[SAPSA Number]],Table1[SAPSA number],Table1[Paid up])</calculatedColumnFormula>
    </tableColumn>
    <tableColumn id="2" xr3:uid="{2617603B-A959-4877-B869-AC66AC761F21}" name="Name" dataDxfId="183"/>
    <tableColumn id="3" xr3:uid="{0B567CEB-FD2B-41C3-9FC1-D750BFB001E8}" name="Surname" dataDxfId="182"/>
    <tableColumn id="4" xr3:uid="{A445ED25-684A-41B0-AEF1-60A4C03C0B3E}" name="Initials" dataDxfId="181"/>
    <tableColumn id="5" xr3:uid="{767A64C9-04AC-403B-B50F-BD85EDD5B2CE}" name="Category" dataDxfId="180">
      <calculatedColumnFormula>_xlfn.XLOOKUP(Table219[[#This Row],[SAPSA Number]],Table1[SAPSA number],Table1[Gender])</calculatedColumnFormula>
    </tableColumn>
    <tableColumn id="6" xr3:uid="{0CECFF65-9A16-489F-B221-AF6C4F3AEC1E}" name="Age" dataDxfId="179">
      <calculatedColumnFormula>_xlfn.XLOOKUP(Table219[[#This Row],[SAPSA Number]],Table1[SAPSA number],Table1[Age])</calculatedColumnFormula>
    </tableColumn>
    <tableColumn id="7" xr3:uid="{59BB38AC-05E8-4CF2-AC38-529FC10B9321}" name="On web" dataDxfId="178"/>
    <tableColumn id="8" xr3:uid="{4523C3E1-EB87-4B3F-AE8A-3022F23A1904}" name="Total DS Points Earned" dataDxfId="177">
      <calculatedColumnFormula>SUM(Table219[[#This Row],[Club Points]:[League Points Earned - Dec]])</calculatedColumnFormula>
    </tableColumn>
    <tableColumn id="9" xr3:uid="{3162C933-1760-4291-95EA-CF711698E9D7}" name="Club Points" dataDxfId="176">
      <calculatedColumnFormula>SUM(Table219[[#This Row],[Std handgun]:[Modified]])</calculatedColumnFormula>
    </tableColumn>
    <tableColumn id="10" xr3:uid="{FE6FE9A5-BDB3-46A8-9AF0-06C14880C73F}" name="League Points Earned - Jan" dataDxfId="175"/>
    <tableColumn id="11" xr3:uid="{D73E90F0-F2A6-46E9-8151-75BD89D0D265}" name="League Points Earned - Feb" dataDxfId="174"/>
    <tableColumn id="12" xr3:uid="{F0409718-4FFA-4547-AB21-07F85278FF32}" name="League Points Earned - March" dataDxfId="173"/>
    <tableColumn id="13" xr3:uid="{D3C0F1D8-F730-4302-81F0-37C88E869469}" name="League Points Earned - April" dataDxfId="172"/>
    <tableColumn id="14" xr3:uid="{BFE91CC5-8DCF-432B-A2A6-0A82B0782523}" name="League Points Earned - May" dataDxfId="171"/>
    <tableColumn id="15" xr3:uid="{142C2B5C-B4A3-4C28-9FE5-28C0056DA7BD}" name="League Points Earned - June" dataDxfId="170"/>
    <tableColumn id="16" xr3:uid="{15599B34-C15C-404E-8F11-EEEAC473C6D1}" name="League Points Earned - July" dataDxfId="169"/>
    <tableColumn id="17" xr3:uid="{2A1C7AD7-9F0A-43DD-B39C-B64020BE445E}" name="League Points Earned - Aug" dataDxfId="168"/>
    <tableColumn id="18" xr3:uid="{132BC4CC-5DDB-4AF7-AF0B-7629C8F580D0}" name="League Points Earned - Sept" dataDxfId="167"/>
    <tableColumn id="19" xr3:uid="{D4AB19DD-6691-4FD6-92FF-4FE4856A01F4}" name="League Points Earned - Oct" dataDxfId="166"/>
    <tableColumn id="20" xr3:uid="{35DCA229-F33E-4063-BECA-9A8106BBCA60}" name="League Points Earned - Nov" dataDxfId="165"/>
    <tableColumn id="21" xr3:uid="{1884E6E2-3162-463B-BD27-3DA607D55128}" name="League Points Earned - Dec" dataDxfId="164"/>
    <tableColumn id="22" xr3:uid="{2209DCDD-1376-4FAE-8EE5-E17D76CC8C62}" name="Std handgun" dataDxfId="163">
      <calculatedColumnFormula>_xlfn.XLOOKUP(Table219[[#This Row],[SAPSA Number]],'STD Handgun'!B:B,'STD Handgun'!J:J)</calculatedColumnFormula>
    </tableColumn>
    <tableColumn id="23" xr3:uid="{37A361A1-BE18-47EA-B913-9DFF30CE7C79}" name="Prod Optics Handgun" dataDxfId="162">
      <calculatedColumnFormula>_xlfn.XLOOKUP(Table219[[#This Row],[SAPSA Number]],'PROD OPTICS Handgun'!B:B,'PROD OPTICS Handgun'!J:J)</calculatedColumnFormula>
    </tableColumn>
    <tableColumn id="24" xr3:uid="{50193582-8209-4BB0-A538-2C908A13EC98}" name="Prod Handgun" dataDxfId="161">
      <calculatedColumnFormula>_xlfn.XLOOKUP(Table219[[#This Row],[SAPSA Number]],'PROD Handgun'!B:B,'PROD Handgun'!J:J)</calculatedColumnFormula>
    </tableColumn>
    <tableColumn id="25" xr3:uid="{9C713894-BCF8-4509-ACEC-6201DFFA7097}" name="Open Handgun" dataDxfId="160">
      <calculatedColumnFormula>_xlfn.XLOOKUP(Table219[[#This Row],[SAPSA Number]],'OPEN Handgun'!B:B,'OPEN Handgun'!J:J)</calculatedColumnFormula>
    </tableColumn>
    <tableColumn id="26" xr3:uid="{082EA03F-A119-446F-82AC-A39880C45131}" name="Classic handgun" dataDxfId="159">
      <calculatedColumnFormula>_xlfn.XLOOKUP(Table219[[#This Row],[SAPSA Number]],'CLASSIC Handgun'!B:B,'CLASSIC Handgun'!J:J)</calculatedColumnFormula>
    </tableColumn>
    <tableColumn id="27" xr3:uid="{AADB24C6-CEA8-40EE-9FD7-FC61A0CD5EEE}" name="Pistol Caliber Carbine" dataDxfId="158">
      <calculatedColumnFormula>_xlfn.XLOOKUP(Table219[[#This Row],[SAPSA Number]],PCC!B:B,PCC!J:J)</calculatedColumnFormula>
    </tableColumn>
    <tableColumn id="28" xr3:uid="{C779CCFD-9D8A-4F6A-8DB7-899ADB09EE05}" name="Semi Auto Rifle - Open" dataDxfId="157">
      <calculatedColumnFormula>_xlfn.XLOOKUP(Table219[[#This Row],[SAPSA Number]],'SAOpen Rifle'!B:B,'SAOpen Rifle'!J:J)</calculatedColumnFormula>
    </tableColumn>
    <tableColumn id="29" xr3:uid="{302297BF-666D-4F67-ACA0-547EF70A0263}" name="Semi Auto Rifle - STD" dataDxfId="156">
      <calculatedColumnFormula>_xlfn.XLOOKUP(Table219[[#This Row],[SAPSA Number]],'SA Std Rifle'!B:B,'SA Std Rifle'!J:J)</calculatedColumnFormula>
    </tableColumn>
    <tableColumn id="30" xr3:uid="{CF0BD2E5-392B-43E7-A290-90A4AD46E214}" name="Mini Rifle - Std" dataDxfId="155">
      <calculatedColumnFormula>_xlfn.XLOOKUP(Table219[[#This Row],[SAPSA Number]],'STD Mini Rifle'!B:B,'STD Mini Rifle'!J:J)</calculatedColumnFormula>
    </tableColumn>
    <tableColumn id="31" xr3:uid="{51E360C6-BDC1-4563-BAAB-C8D2695B932E}" name="Mini Rifle - Open" dataDxfId="154">
      <calculatedColumnFormula>_xlfn.XLOOKUP(Table219[[#This Row],[SAPSA Number]],'Open Mini Rifle'!B:B,'Open Mini Rifle'!J:J)</calculatedColumnFormula>
    </tableColumn>
    <tableColumn id="33" xr3:uid="{930C7982-3B25-42A7-A6F4-6247443CC4DC}" name="Open Shotgun" dataDxfId="153">
      <calculatedColumnFormula>_xlfn.XLOOKUP(Table219[[#This Row],[SAPSA Number]],'SA OPEN Shotgun'!B:B,'SA OPEN Shotgun'!J:J)</calculatedColumnFormula>
    </tableColumn>
    <tableColumn id="34" xr3:uid="{21D8432B-86B3-409B-B011-EC99FE08FBB8}" name="Std Shotgun" dataDxfId="152">
      <calculatedColumnFormula>_xlfn.XLOOKUP(Table219[[#This Row],[SAPSA Number]],'SA STD Shotgun'!B:B,'SA STD Shotgun'!J:J)</calculatedColumnFormula>
    </tableColumn>
    <tableColumn id="35" xr3:uid="{101ECE56-A4DE-4999-B97D-C49F295677B3}" name="Std Manual Shotgun" dataDxfId="151">
      <calculatedColumnFormula>_xlfn.XLOOKUP(Table219[[#This Row],[SAPSA Number]],'MAN STD Shotgun'!B:B,'MAN STD Shotgun'!J:J)</calculatedColumnFormula>
    </tableColumn>
    <tableColumn id="36" xr3:uid="{02A3DBD5-89D7-4B7D-8BE3-25D953FFD979}" name="Modified" dataDxfId="150">
      <calculatedColumnFormula>_xlfn.XLOOKUP(Table219[[#This Row],[SAPSA Number]],'MODIFIED Shotgun'!B:B,'MODIFIED Shotgun'!J:J)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E48016-18E9-4382-BCF2-F2FE9A5CCD82}" name="__xlnm._FilterDatabase_1" displayName="__xlnm._FilterDatabase_1" ref="A1:W134" totalsRowShown="0">
  <autoFilter ref="A1:W134" xr:uid="{BA3C916F-7CE4-4DE2-938C-81957A011EF5}"/>
  <sortState xmlns:xlrd2="http://schemas.microsoft.com/office/spreadsheetml/2017/richdata2" ref="A2:W134">
    <sortCondition ref="A1:A134"/>
  </sortState>
  <tableColumns count="23">
    <tableColumn id="1" xr3:uid="{44FB19D0-8706-426A-801D-8D35D40B5A2F}" name="Club Ranking"/>
    <tableColumn id="2" xr3:uid="{3E7F452B-5117-4869-A6DF-D19F9C81E60C}" name="SAPSA Number" dataDxfId="149"/>
    <tableColumn id="23" xr3:uid="{2B230823-9C72-42BD-9D28-BEA32FC07125}" name="Column1" dataDxfId="148" dataCellStyle="Excel Built-in Normal">
      <calculatedColumnFormula>_xlfn.XLOOKUP(__xlnm._FilterDatabase_1[[#This Row],[SAPSA Number]],Table1[SAPSA number],Table1[Paid up])</calculatedColumnFormula>
    </tableColumn>
    <tableColumn id="3" xr3:uid="{773DEC08-C69B-4C29-918F-4798A5C53DDA}" name="Name" dataDxfId="147"/>
    <tableColumn id="4" xr3:uid="{07D580DA-021A-41EA-96B8-2431FC7FA91D}" name="Surname" dataDxfId="146"/>
    <tableColumn id="5" xr3:uid="{09D2D269-3F7C-412E-837D-146714AA74EF}" name="Initials" dataDxfId="145"/>
    <tableColumn id="6" xr3:uid="{0779B5B8-B321-42BF-9C50-7B1731AC081F}" name="Tag" dataDxfId="144">
      <calculatedColumnFormula>_xlfn.XLOOKUP(__xlnm._FilterDatabase_1[[#This Row],[SAPSA Number]],#REF!,#REF!)</calculatedColumnFormula>
    </tableColumn>
    <tableColumn id="7" xr3:uid="{A9273FC7-7308-42E6-8E80-C35C373763E9}" name="Age" dataDxfId="143"/>
    <tableColumn id="8" xr3:uid="{595FDB42-E5EE-4535-855B-F6EAB81A371F}" name="Division"/>
    <tableColumn id="9" xr3:uid="{19F553AE-FEE6-438B-AA75-8B8033D9D356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0B45E47C-28D7-4D38-B48D-D83CCF774006}" name="Resuls" dataDxfId="142">
      <calculatedColumnFormula>(LARGE(L2:V2,1)+LARGE(L2:V2,2)+LARGE(L2:V2,3)+LARGE(L2:V2,4)+LARGE(L2:V2,5))/5</calculatedColumnFormula>
    </tableColumn>
    <tableColumn id="11" xr3:uid="{FEF010A0-0386-4E57-B7B6-1917A0165B4B}" name="Jan"/>
    <tableColumn id="12" xr3:uid="{E65679ED-1263-4C4D-9F84-36E43DCDE83D}" name="Feb"/>
    <tableColumn id="13" xr3:uid="{1F31E8DD-5FD0-43A2-9DFE-D400AEDA1E55}" name="Mar"/>
    <tableColumn id="14" xr3:uid="{3F7E2092-1943-46D1-AECC-712720D2F583}" name="Apr"/>
    <tableColumn id="15" xr3:uid="{F7D5F031-7347-4747-825F-EA0BD2FAA90B}" name="May"/>
    <tableColumn id="16" xr3:uid="{06509564-44CC-4421-9762-E449B88A7704}" name="Jun"/>
    <tableColumn id="17" xr3:uid="{164D569E-C1AD-44BD-ACA5-F07E5F0F36F5}" name="Jul"/>
    <tableColumn id="18" xr3:uid="{17A1E044-453E-480F-93B1-490B1A7141A4}" name="Aug"/>
    <tableColumn id="19" xr3:uid="{58466182-6086-419E-9F43-B91229F93740}" name="Sep"/>
    <tableColumn id="20" xr3:uid="{537E3F4A-480C-4FF0-B933-FED272D5C0F8}" name="Oct"/>
    <tableColumn id="21" xr3:uid="{3BDDD2EB-6244-43F1-9AD3-7C144D13F1A0}" name="Nov"/>
    <tableColumn id="22" xr3:uid="{E6080E23-550F-4C2C-8D4D-DD61BD50420C}" name="Dec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C389362-7C33-46ED-812E-C02939BE5F33}" name="__xlnm._FilterDatabase_156" displayName="__xlnm._FilterDatabase_156" ref="A1:W124" totalsRowShown="0">
  <autoFilter ref="A1:W124" xr:uid="{19B0AB0A-888D-46B0-8C39-1493355A11CF}">
    <filterColumn colId="6">
      <filters>
        <filter val="Lady"/>
        <filter val="S"/>
        <filter val="SS"/>
      </filters>
    </filterColumn>
  </autoFilter>
  <sortState xmlns:xlrd2="http://schemas.microsoft.com/office/spreadsheetml/2017/richdata2" ref="A2:W124">
    <sortCondition ref="A1:A124"/>
  </sortState>
  <tableColumns count="23">
    <tableColumn id="1" xr3:uid="{E30E430B-7ACD-46BE-838A-D14506C8587A}" name="Club Ranking"/>
    <tableColumn id="2" xr3:uid="{01167A55-0875-451B-9D24-7E07F1AD4E99}" name="SAPSA Number" dataDxfId="141"/>
    <tableColumn id="23" xr3:uid="{96921AEC-448C-47F7-BBC7-03213B14F961}" name="Paid up" dataDxfId="140" dataCellStyle="Excel Built-in Normal">
      <calculatedColumnFormula>_xlfn.XLOOKUP(__xlnm._FilterDatabase_156[[#This Row],[SAPSA Number]],Table1[SAPSA number],Table1[Paid up])</calculatedColumnFormula>
    </tableColumn>
    <tableColumn id="3" xr3:uid="{223CC43C-DA77-46DA-9870-7C696A0B86B9}" name="Name" dataDxfId="139" dataCellStyle="Excel Built-in Normal">
      <calculatedColumnFormula>_xlfn.XLOOKUP(__xlnm._FilterDatabase_156[[#This Row],[SAPSA Number]],Table1[SAPSA number],Table1[Name])</calculatedColumnFormula>
    </tableColumn>
    <tableColumn id="4" xr3:uid="{AEA1D909-E69B-4555-92E4-1274B85F30B5}" name="Surname" dataDxfId="138" dataCellStyle="Excel Built-in Normal">
      <calculatedColumnFormula>_xlfn.XLOOKUP(__xlnm._FilterDatabase_156[[#This Row],[SAPSA Number]],Table1[SAPSA number],Table1[Surname])</calculatedColumnFormula>
    </tableColumn>
    <tableColumn id="5" xr3:uid="{EACCBB79-F858-45FF-BCFC-B20259EDDE2B}" name="Initials" dataDxfId="137" dataCellStyle="Excel Built-in Normal">
      <calculatedColumnFormula>_xlfn.XLOOKUP(__xlnm._FilterDatabase_156[[#This Row],[SAPSA Number]],Table1[SAPSA number],Table1[Initials])</calculatedColumnFormula>
    </tableColumn>
    <tableColumn id="6" xr3:uid="{B089E035-42A9-44DE-92EB-B80B7FD10055}" name="Tag" dataDxfId="136" dataCellStyle="Excel Built-in Normal">
      <calculatedColumnFormula>_xlfn.XLOOKUP(__xlnm._FilterDatabase_156[[#This Row],[SAPSA Number]],Table1[SAPSA number],Table1[Gender])</calculatedColumnFormula>
    </tableColumn>
    <tableColumn id="7" xr3:uid="{C5739BD5-EC2A-41B1-A288-564B87A94F26}" name="Age" dataDxfId="135" dataCellStyle="Excel Built-in Normal">
      <calculatedColumnFormula>_xlfn.XLOOKUP(__xlnm._FilterDatabase_1[[#This Row],[SAPSA Number]],Table1[SAPSA number],Table1[Age])</calculatedColumnFormula>
    </tableColumn>
    <tableColumn id="8" xr3:uid="{EB3899C2-7734-46C5-BE27-64BF7A968FA0}" name="Division"/>
    <tableColumn id="9" xr3:uid="{71032324-98AB-4CEC-8A08-3A340D5B50AB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5581E6B5-5659-40E6-8A33-3C2081ABD152}" name="Resuls" dataDxfId="134">
      <calculatedColumnFormula>(LARGE(L2:W2,1)+LARGE(L2:W2,2)+LARGE(L2:W2,3)+LARGE(L2:W2,4)+LARGE(L2:W2,5))/5</calculatedColumnFormula>
    </tableColumn>
    <tableColumn id="11" xr3:uid="{45F2B99B-D1C0-487E-B151-BE7CD186F066}" name="Jan"/>
    <tableColumn id="12" xr3:uid="{07FAEA75-33FE-43DE-AFDF-26BD7E446D21}" name="Feb"/>
    <tableColumn id="13" xr3:uid="{79A53B05-3092-4998-9BFE-06779D340B12}" name="Mar"/>
    <tableColumn id="14" xr3:uid="{0572C861-AE00-42FE-8B6F-E08CDA158252}" name="Apr"/>
    <tableColumn id="15" xr3:uid="{5E586016-2F2A-4A30-BA96-4D66A9836973}" name="May"/>
    <tableColumn id="16" xr3:uid="{01693EA4-DC43-4D67-BF52-63C6D70EEAA8}" name="Jun"/>
    <tableColumn id="17" xr3:uid="{22293521-7409-41C4-B40C-0391A3323F47}" name="Jul"/>
    <tableColumn id="18" xr3:uid="{30B1FA22-A6AA-4D6E-BE71-96560E810B91}" name="Aug"/>
    <tableColumn id="19" xr3:uid="{EAF04160-D825-48EA-8DE3-35D28762BC30}" name="Sep"/>
    <tableColumn id="20" xr3:uid="{6FCFA7E2-C79A-4E43-8E87-7F303D3B7D86}" name="Oct"/>
    <tableColumn id="21" xr3:uid="{D19DA478-DA2B-4339-9AF7-DDC1F47439D6}" name="Nov"/>
    <tableColumn id="22" xr3:uid="{5C873793-9E25-40F8-BB4C-9FF4EB4FCFB4}" name="Dec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D79DEC-0F0D-4453-A642-0C406EA58C88}" name="__xlnm._FilterDatabase_15" displayName="__xlnm._FilterDatabase_15" ref="A1:W136" totalsRowShown="0">
  <autoFilter ref="A1:W136" xr:uid="{F6235444-995C-4F36-9BA7-9B39AA5DEEBB}"/>
  <sortState xmlns:xlrd2="http://schemas.microsoft.com/office/spreadsheetml/2017/richdata2" ref="A2:W136">
    <sortCondition ref="A1:A136"/>
  </sortState>
  <tableColumns count="23">
    <tableColumn id="1" xr3:uid="{707BD841-6B06-4C53-9079-3F1AC4783B8A}" name="Club Ranking"/>
    <tableColumn id="2" xr3:uid="{5AEF330B-3130-43D3-A043-FC1C0562FD3F}" name="SAPSA Number" dataDxfId="133"/>
    <tableColumn id="23" xr3:uid="{63EBA7BA-FC1E-4D0D-B861-92077CB112D7}" name="Paid up" dataDxfId="132" dataCellStyle="Excel Built-in Normal">
      <calculatedColumnFormula>_xlfn.XLOOKUP(__xlnm._FilterDatabase_15[[#This Row],[SAPSA Number]],Table1[SAPSA number],Table1[Paid up])</calculatedColumnFormula>
    </tableColumn>
    <tableColumn id="3" xr3:uid="{63D423E2-F21C-459B-B3E5-F3CA0580B50E}" name="Name" dataDxfId="131">
      <calculatedColumnFormula>_xlfn.XLOOKUP(__xlnm._FilterDatabase_15[[#This Row],[SAPSA Number]],#REF!,#REF!)</calculatedColumnFormula>
    </tableColumn>
    <tableColumn id="4" xr3:uid="{7049BCF2-4B69-4C49-A69C-051A4E88A4AF}" name="Surname" dataDxfId="130">
      <calculatedColumnFormula>_xlfn.XLOOKUP(__xlnm._FilterDatabase_15[[#This Row],[SAPSA Number]],#REF!,#REF!)</calculatedColumnFormula>
    </tableColumn>
    <tableColumn id="5" xr3:uid="{7798C3ED-2C1B-4F69-B37A-A2245E634C87}" name="Initials" dataDxfId="129">
      <calculatedColumnFormula>_xlfn.XLOOKUP(__xlnm._FilterDatabase_15[[#This Row],[SAPSA Number]],#REF!,#REF!)</calculatedColumnFormula>
    </tableColumn>
    <tableColumn id="6" xr3:uid="{4EE36329-A994-4EEB-89BC-3CAFEDCDF366}" name="Tag" dataDxfId="128">
      <calculatedColumnFormula>_xlfn.XLOOKUP(__xlnm._FilterDatabase_15[[#This Row],[SAPSA Number]],#REF!,#REF!)</calculatedColumnFormula>
    </tableColumn>
    <tableColumn id="7" xr3:uid="{E02627EB-F6E6-429A-B722-166509049AAE}" name="Age" dataDxfId="127"/>
    <tableColumn id="8" xr3:uid="{5C34D223-F5FA-4013-9F67-2848A259E8A2}" name="Division"/>
    <tableColumn id="9" xr3:uid="{BF8C5D18-4571-451E-8AB5-BA3E78A6BD28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209110F9-0E11-4EFC-BCFC-29FF2BDB0137}" name="Resuls" dataDxfId="126">
      <calculatedColumnFormula>(LARGE(L2:W2,1)+LARGE(L2:W2,2)+LARGE(L2:W2,3)+LARGE(L2:W2,4)+LARGE(L2:W2,5))/5</calculatedColumnFormula>
    </tableColumn>
    <tableColumn id="11" xr3:uid="{DCFA8667-9F39-46C1-8A61-EE19E280DA81}" name="Jan"/>
    <tableColumn id="12" xr3:uid="{70CF03B3-89EE-424B-9EE1-8050DF521A7D}" name="Feb"/>
    <tableColumn id="13" xr3:uid="{32B81527-9866-431F-BD9D-E87140104B79}" name="Mar"/>
    <tableColumn id="14" xr3:uid="{803E7BF9-24C3-4083-AA98-EC7AF37EFDCC}" name="Apr"/>
    <tableColumn id="15" xr3:uid="{FFAB7159-8C0B-446E-90D9-2B8CA1422798}" name="May"/>
    <tableColumn id="16" xr3:uid="{779219A6-A000-4D60-B53D-47B0BBB5C2D6}" name="Jun"/>
    <tableColumn id="17" xr3:uid="{E629DBFE-020A-4DC1-8807-6D0B1AE810FC}" name="Jul"/>
    <tableColumn id="18" xr3:uid="{0556B040-9D91-4E22-80AF-4E86247E4DF8}" name="Aug"/>
    <tableColumn id="19" xr3:uid="{0EDCC514-AE2C-4079-A640-F3FB9A29C56B}" name="Sep"/>
    <tableColumn id="20" xr3:uid="{1EB6ED74-4C51-42F5-92F3-3024EA650525}" name="Oct"/>
    <tableColumn id="21" xr3:uid="{3F584ACA-3278-4A54-92A2-2AB11DDE87D2}" name="Nov"/>
    <tableColumn id="22" xr3:uid="{2DED2105-99E7-46C2-9C46-DF5E97D9C141}" name="Dec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AF85FAC-F172-4B3C-B62F-E54F7CC2B445}" name="__xlnm._FilterDatabase_157" displayName="__xlnm._FilterDatabase_157" ref="A1:W124" totalsRowShown="0">
  <autoFilter ref="A1:W124" xr:uid="{E60DE9C6-09D3-4AA3-897D-3D89F07ACA1C}"/>
  <sortState xmlns:xlrd2="http://schemas.microsoft.com/office/spreadsheetml/2017/richdata2" ref="A2:W124">
    <sortCondition ref="A1:A124"/>
  </sortState>
  <tableColumns count="23">
    <tableColumn id="1" xr3:uid="{C23EF3DF-6D9B-4EC5-BA29-EF76F8EE6FD0}" name="Club Ranking"/>
    <tableColumn id="2" xr3:uid="{2C0BB5DA-C963-4EEB-B759-CA6075DBBEF9}" name="SAPSA Number" dataDxfId="125"/>
    <tableColumn id="23" xr3:uid="{DF7BFA3C-2AC2-4811-944C-17B1CCB5638B}" name="Paid up" dataDxfId="124" dataCellStyle="Excel Built-in Normal">
      <calculatedColumnFormula>_xlfn.XLOOKUP(__xlnm._FilterDatabase_157[[#This Row],[SAPSA Number]],Table1[SAPSA number],Table1[Paid up])</calculatedColumnFormula>
    </tableColumn>
    <tableColumn id="3" xr3:uid="{796A538D-6DE1-4D0B-BD97-AB534C7F3E76}" name="Name" dataDxfId="123"/>
    <tableColumn id="4" xr3:uid="{2F0DDDE2-834B-4E18-9031-CB65532B4342}" name="Surname" dataDxfId="122"/>
    <tableColumn id="5" xr3:uid="{D2BF0E67-A784-453B-96C4-2D93BA582A0F}" name="Initials" dataDxfId="121"/>
    <tableColumn id="6" xr3:uid="{379F96C7-795A-4F5D-B9FC-90C4C7E7600F}" name="Tag" dataDxfId="120">
      <calculatedColumnFormula>_xlfn.XLOOKUP(__xlnm._FilterDatabase_157[[#This Row],[SAPSA Number]],#REF!,#REF!)</calculatedColumnFormula>
    </tableColumn>
    <tableColumn id="7" xr3:uid="{A7C0BFDC-73BD-426B-9D41-577487173833}" name="Age" dataDxfId="119">
      <calculatedColumnFormula>_xlfn.XLOOKUP(__xlnm._FilterDatabase_157[[#This Row],[SAPSA Number]],#REF!,#REF!)</calculatedColumnFormula>
    </tableColumn>
    <tableColumn id="8" xr3:uid="{F766E54E-A874-4C79-B58C-1719D87C1C56}" name="Division"/>
    <tableColumn id="9" xr3:uid="{2A1B41A5-D079-46B8-B750-39D11E72D9D6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1D162821-50E2-4B3C-B6AB-4B936F94CEA7}" name="Resuls" dataDxfId="118">
      <calculatedColumnFormula>(LARGE(L2:U2,1)+LARGE(L2:U2,2)+LARGE(L2:U2,3)+LARGE(L2:U2,4)+LARGE(L2:U2,5))/5</calculatedColumnFormula>
    </tableColumn>
    <tableColumn id="11" xr3:uid="{0234022D-0405-4950-B6C6-CC35168B4DFB}" name="Jan"/>
    <tableColumn id="12" xr3:uid="{98FBD040-C56B-462A-8094-E25957410058}" name="Feb"/>
    <tableColumn id="13" xr3:uid="{B3D68843-4B07-4CAA-9A45-C196874D7F97}" name="Mar"/>
    <tableColumn id="14" xr3:uid="{24ABC542-D82C-438F-B74A-430147020F66}" name="Apr"/>
    <tableColumn id="15" xr3:uid="{BEF79991-D41B-4B3E-9AC8-20776E37E13B}" name="May"/>
    <tableColumn id="16" xr3:uid="{DDCA0CB0-45A9-4AD0-8AC8-FE96AB37E881}" name="Jun"/>
    <tableColumn id="17" xr3:uid="{A7A3124D-A237-4E4B-BC53-E543D08CC5ED}" name="Jul"/>
    <tableColumn id="18" xr3:uid="{732E221F-917F-45BA-A6AD-879698242AF6}" name="Aug"/>
    <tableColumn id="19" xr3:uid="{4FAAB050-0986-4055-B42E-D6CD132FA367}" name="Sep"/>
    <tableColumn id="20" xr3:uid="{74EAA9B0-9ACC-40E3-8D78-C7C05EEA2125}" name="Oct"/>
    <tableColumn id="21" xr3:uid="{151B457F-6F48-4E67-96CD-6EE7D25905AC}" name="Nov"/>
    <tableColumn id="22" xr3:uid="{64E002A5-AB4F-4191-8249-2D0D32E1D8C7}" name="Dec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31BFB01-DA62-4709-8D4C-D5D873E21760}" name="__xlnm._FilterDatabase_15717" displayName="__xlnm._FilterDatabase_15717" ref="A1:W126" totalsRowShown="0">
  <autoFilter ref="A1:W126" xr:uid="{C0F1359F-609A-4361-BD14-DF0DD0F75A4A}"/>
  <sortState xmlns:xlrd2="http://schemas.microsoft.com/office/spreadsheetml/2017/richdata2" ref="A2:W126">
    <sortCondition ref="A1:A126"/>
  </sortState>
  <tableColumns count="23">
    <tableColumn id="1" xr3:uid="{DEEF646A-4354-4372-8CDE-33C3E7EEFB49}" name="Club Ranking"/>
    <tableColumn id="2" xr3:uid="{C3E1AF34-FE78-4154-AB7A-DB68618EE5FE}" name="SAPSA Number" dataDxfId="117"/>
    <tableColumn id="23" xr3:uid="{DC14BF37-57EC-4A75-A7C3-ADAE8457169A}" name="Paid up" dataDxfId="116" dataCellStyle="Excel Built-in Normal">
      <calculatedColumnFormula>_xlfn.XLOOKUP(__xlnm._FilterDatabase_15717[[#This Row],[SAPSA Number]],Table1[SAPSA number],Table1[Paid up])</calculatedColumnFormula>
    </tableColumn>
    <tableColumn id="3" xr3:uid="{AE1C9E85-7281-4B35-9648-91956FA5E71F}" name="Name" dataDxfId="115">
      <calculatedColumnFormula>_xlfn.XLOOKUP(__xlnm._FilterDatabase_15717[[#This Row],[SAPSA Number]],Table1[SAPSA number],Table1[Name])</calculatedColumnFormula>
    </tableColumn>
    <tableColumn id="4" xr3:uid="{C51A4BB7-44C0-48AD-A8E9-3242F7A84FE0}" name="Surname" dataDxfId="114">
      <calculatedColumnFormula>_xlfn.XLOOKUP(__xlnm._FilterDatabase_15717[[#This Row],[SAPSA Number]],Table1[SAPSA number],Table1[Surname])</calculatedColumnFormula>
    </tableColumn>
    <tableColumn id="5" xr3:uid="{5B59355E-8CC7-48A2-B071-368BE5F7502C}" name="Initials" dataDxfId="113">
      <calculatedColumnFormula>_xlfn.XLOOKUP(__xlnm._FilterDatabase_15717[[#This Row],[SAPSA Number]],Table1[SAPSA number],Table1[Initials])</calculatedColumnFormula>
    </tableColumn>
    <tableColumn id="6" xr3:uid="{7061667F-6211-4147-9AD6-9C747977B755}" name="Tag" dataDxfId="112">
      <calculatedColumnFormula>_xlfn.XLOOKUP(__xlnm._FilterDatabase_15717[[#This Row],[SAPSA Number]],Table1[SAPSA number],Table1[Gender])</calculatedColumnFormula>
    </tableColumn>
    <tableColumn id="7" xr3:uid="{86781A77-ABEE-452E-8E02-3632C143CE4F}" name="Age" dataDxfId="111"/>
    <tableColumn id="8" xr3:uid="{19E66275-44D8-4CE4-8D33-B16BC5646B10}" name="Division"/>
    <tableColumn id="9" xr3:uid="{DEC92E7A-B211-4119-B8C2-294FCEBD15BF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1B610140-B0BC-41B8-A062-E3A3F1896DF0}" name="Resuls" dataDxfId="110">
      <calculatedColumnFormula>(LARGE(L2:W2,1)+LARGE(L2:W2,2)+LARGE(L2:W2,3)+LARGE(L2:W2,4)+LARGE(L2:W2,5))/5</calculatedColumnFormula>
    </tableColumn>
    <tableColumn id="11" xr3:uid="{FDC72BFC-A452-4208-A753-C0E8FA1F7841}" name="Jan"/>
    <tableColumn id="12" xr3:uid="{49AB11E8-41D7-47EA-9783-0EB9471A16A2}" name="Feb"/>
    <tableColumn id="13" xr3:uid="{9F605F2F-A592-468B-AC62-FA3A563893F8}" name="Mar"/>
    <tableColumn id="14" xr3:uid="{B8367C13-8291-424B-BE58-5269D1A9EC81}" name="Apr"/>
    <tableColumn id="15" xr3:uid="{922CEB58-9499-4252-B70C-638F0278FC95}" name="May"/>
    <tableColumn id="16" xr3:uid="{24919F1F-A9CF-4F66-8E97-853AE6E22CAA}" name="Jun"/>
    <tableColumn id="17" xr3:uid="{BAE112AC-3956-45FC-8174-6902D049AE2F}" name="Jul"/>
    <tableColumn id="18" xr3:uid="{442091A0-4AF7-4D4C-B5F6-D7AAA7DCF99E}" name="Aug"/>
    <tableColumn id="19" xr3:uid="{AFA41FDE-CE4E-45D4-AD4C-DF0F1C9BAC69}" name="Sep"/>
    <tableColumn id="20" xr3:uid="{2605F62D-082E-411B-8B4F-7C572EE4F0B3}" name="Oct"/>
    <tableColumn id="21" xr3:uid="{0DF85A8C-53D4-45F1-BB4B-387B22D3685B}" name="Nov"/>
    <tableColumn id="22" xr3:uid="{5FCB2B94-5576-4D22-99CF-C2E169482397}" name="Dec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FBD60C4-8DDA-43C5-ACC5-2D4A040C5E6F}" name="__xlnm._FilterDatabase_1571718" displayName="__xlnm._FilterDatabase_1571718" ref="A1:W126" totalsRowShown="0">
  <autoFilter ref="A1:W126" xr:uid="{7FBD60C4-8DDA-43C5-ACC5-2D4A040C5E6F}"/>
  <sortState xmlns:xlrd2="http://schemas.microsoft.com/office/spreadsheetml/2017/richdata2" ref="A2:W126">
    <sortCondition ref="A1:A126"/>
  </sortState>
  <tableColumns count="23">
    <tableColumn id="1" xr3:uid="{D17A1362-F5A6-411E-AEB5-B73C762D8621}" name="Club Ranking"/>
    <tableColumn id="2" xr3:uid="{9DF2AAF3-CCC5-427B-9F72-328F7803DF88}" name="SAPSA Number" dataDxfId="109"/>
    <tableColumn id="23" xr3:uid="{95E8A3F4-D179-4217-818C-0890C7337E02}" name="Paid up" dataDxfId="108" dataCellStyle="Excel Built-in Normal">
      <calculatedColumnFormula>_xlfn.XLOOKUP(__xlnm._FilterDatabase_1571718[[#This Row],[SAPSA Number]],Table1[SAPSA number],Table1[Paid up])</calculatedColumnFormula>
    </tableColumn>
    <tableColumn id="3" xr3:uid="{6F99D2EA-A823-4E0B-85D1-C05DCC429860}" name="Name" dataDxfId="107">
      <calculatedColumnFormula>_xlfn.XLOOKUP(__xlnm._FilterDatabase_1571718[[#This Row],[SAPSA Number]],Table1[SAPSA number],Table1[Name])</calculatedColumnFormula>
    </tableColumn>
    <tableColumn id="4" xr3:uid="{91320838-BFF2-4E36-A390-267A3F36CF35}" name="Surname" dataDxfId="106">
      <calculatedColumnFormula>_xlfn.XLOOKUP(__xlnm._FilterDatabase_1571718[[#This Row],[SAPSA Number]],Table1[SAPSA number],Table1[Surname])</calculatedColumnFormula>
    </tableColumn>
    <tableColumn id="5" xr3:uid="{45990DCD-9BA1-430F-BE57-979A147CAD9A}" name="Initials" dataDxfId="105">
      <calculatedColumnFormula>_xlfn.XLOOKUP(__xlnm._FilterDatabase_1571718[[#This Row],[SAPSA Number]],Table1[SAPSA number],Table1[Initials])</calculatedColumnFormula>
    </tableColumn>
    <tableColumn id="6" xr3:uid="{6641EB2A-AEEA-4AED-B807-6554242B0E1B}" name="Tag" dataDxfId="104">
      <calculatedColumnFormula>_xlfn.XLOOKUP(__xlnm._FilterDatabase_1571718[[#This Row],[SAPSA Number]],Table1[SAPSA number],Table1[Gender])</calculatedColumnFormula>
    </tableColumn>
    <tableColumn id="7" xr3:uid="{5912AC3F-F91D-4C5C-AB3B-7843911FB69A}" name="Age" dataDxfId="103">
      <calculatedColumnFormula>_xlfn.XLOOKUP(__xlnm._FilterDatabase_1571718[[#This Row],[SAPSA Number]],#REF!,#REF!)</calculatedColumnFormula>
    </tableColumn>
    <tableColumn id="8" xr3:uid="{B1267430-1AE4-4A1B-80BE-C2906821483D}" name="Division"/>
    <tableColumn id="9" xr3:uid="{E51B8C11-3650-419D-8B1F-DE27246F7FF9}" name="Points Earned">
      <calculatedColumnFormula>(IF(L2&gt;0,1,0)+(IF(M2&gt;0,1,0))+(IF(N2&gt;0,1,0))+(IF(O2&gt;0,1,0))+(IF(P2&gt;0,1,0))+(IF(Q2&gt;0,1,0))+(IF(R2&gt;0,1,0))+(IF(S2&gt;0,1,0))+(IF(T2&gt;0,1,0))+(IF(U2&gt;0,1,0))+(IF(V2&gt;0,1,0))+(IF(W2&gt;0,1,0)))</calculatedColumnFormula>
    </tableColumn>
    <tableColumn id="10" xr3:uid="{D0A7D9F3-57E8-40B8-B6DF-AB92A0BE4E47}" name="Resuls" dataDxfId="102">
      <calculatedColumnFormula>(LARGE(L2:V2,1)+LARGE(L2:V2,2)+LARGE(L2:V2,3)+LARGE(L2:V2,4)+LARGE(L2:V2,5))/5</calculatedColumnFormula>
    </tableColumn>
    <tableColumn id="11" xr3:uid="{74067341-6688-45C1-9A72-2F42DEF569DF}" name="Jan"/>
    <tableColumn id="12" xr3:uid="{DF12B87F-3173-4B65-A4C4-8706E5BC40C2}" name="Feb"/>
    <tableColumn id="13" xr3:uid="{870696D5-9106-4911-99FE-64FF635AC577}" name="Mar"/>
    <tableColumn id="14" xr3:uid="{02F871D0-F553-4A5A-A83C-6E92A438CB48}" name="Apr"/>
    <tableColumn id="15" xr3:uid="{F9F5CD6C-62D6-4408-B2C7-E81C3519EE30}" name="May"/>
    <tableColumn id="16" xr3:uid="{01F4A52F-AC3A-4CBD-8409-C0E505D45B26}" name="Jun"/>
    <tableColumn id="17" xr3:uid="{A4CD82FE-10C9-4C22-A3A0-5A1AAC0CEB90}" name="Jul"/>
    <tableColumn id="18" xr3:uid="{4E86FB45-94C5-42D0-A7E1-9302AD70FC10}" name="Aug"/>
    <tableColumn id="19" xr3:uid="{8ACD7D38-6F94-40E2-88AD-7B64D3E63B10}" name="Sep"/>
    <tableColumn id="20" xr3:uid="{510C4425-2702-4E0E-8DEA-37D50EE62470}" name="Oct"/>
    <tableColumn id="21" xr3:uid="{FFF1DB98-7A7E-470C-8819-E19EE6ECF5A2}" name="Nov"/>
    <tableColumn id="22" xr3:uid="{2B9AAB2B-6955-4B65-8FFA-8BEA0B899267}" name="Dec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3898F13-8805-4C08-9FDE-7C6C13CA5525}" name="__xlnm._FilterDatabase_158" displayName="__xlnm._FilterDatabase_158" ref="A1:AI132" totalsRowShown="0">
  <autoFilter ref="A1:AI132" xr:uid="{AF3FE1C9-CA4E-450A-854A-7CECC9606D49}"/>
  <sortState xmlns:xlrd2="http://schemas.microsoft.com/office/spreadsheetml/2017/richdata2" ref="A2:AI132">
    <sortCondition ref="A1:A132"/>
  </sortState>
  <tableColumns count="35">
    <tableColumn id="1" xr3:uid="{F4913BD9-053B-43D6-9BB0-6D1C05D67091}" name="Club Ranking"/>
    <tableColumn id="2" xr3:uid="{AD4EE62F-C52B-4FAB-ADE8-62EE8D80D43C}" name="SAPSA Number" dataDxfId="101"/>
    <tableColumn id="34" xr3:uid="{4C5889F9-05F9-41A0-9D51-C9CC69A41ECB}" name="Paid up" dataDxfId="100" dataCellStyle="Excel Built-in Normal">
      <calculatedColumnFormula>_xlfn.XLOOKUP(__xlnm._FilterDatabase_158[[#This Row],[SAPSA Number]],Table1[SAPSA number],Table1[Paid up])</calculatedColumnFormula>
    </tableColumn>
    <tableColumn id="3" xr3:uid="{7F3AB694-D3A9-4A50-871D-A87AB6ECE32B}" name="Name" dataDxfId="99">
      <calculatedColumnFormula>_xlfn.XLOOKUP(__xlnm._FilterDatabase_158[[#This Row],[SAPSA Number]],#REF!,#REF!)</calculatedColumnFormula>
    </tableColumn>
    <tableColumn id="4" xr3:uid="{BDA95363-AF61-4DD6-9B06-CFF5500C9098}" name="Surname" dataDxfId="98">
      <calculatedColumnFormula>_xlfn.XLOOKUP(__xlnm._FilterDatabase_158[[#This Row],[SAPSA Number]],#REF!,#REF!)</calculatedColumnFormula>
    </tableColumn>
    <tableColumn id="5" xr3:uid="{86BF30D5-C449-4E57-9986-04BD8DBA9E24}" name="Initials" dataDxfId="97">
      <calculatedColumnFormula>_xlfn.XLOOKUP(__xlnm._FilterDatabase_158[[#This Row],[SAPSA Number]],#REF!,#REF!)</calculatedColumnFormula>
    </tableColumn>
    <tableColumn id="6" xr3:uid="{D51AB9B4-99D4-466C-8FEF-36ABBADDA115}" name="Tag" dataDxfId="96">
      <calculatedColumnFormula>_xlfn.XLOOKUP(__xlnm._FilterDatabase_158[[#This Row],[SAPSA Number]],#REF!,#REF!)</calculatedColumnFormula>
    </tableColumn>
    <tableColumn id="7" xr3:uid="{F6EEF397-B53A-463D-B166-72380BB2E54D}" name="Age" dataDxfId="95"/>
    <tableColumn id="8" xr3:uid="{CEFE0B5B-AFED-4F44-83A0-75C4F2F6E4EC}" name="Division"/>
    <tableColumn id="9" xr3:uid="{FA74B47A-8A2F-406C-A873-DB1EB0C739E3}" name="Points Earned" dataDxfId="94">
      <calculatedColumnFormula>(IF(L2&gt;0,1,0)+(IF(__xlnm._FilterDatabase_158[[#This Row],[Jan2]]&gt;0,1,0))+(IF(__xlnm._FilterDatabase_158[[#This Row],[Feb2]]&gt;0,1,0))+(IF(N2&gt;0,1,0))+(IF(P2&gt;0,1,0))+(IF(Q2&gt;0,1,0))+(IF(R2&gt;0,1,0))+(IF(T2&gt;0,1,0))+(IF(U2&gt;0,1,0))+(IF(V2&gt;0,1,0))+(IF(X2&gt;0,1,0))+(IF(Y2&gt;0,1,0))+(IF(Z2&gt;0,1,0))+(IF(AA2&gt;0,1,0))+(IF(AB2&gt;0,1,0))+(IF(AC2&gt;0,1,0))+(IF(AD2&gt;0,1,0))+(IF(AE2&gt;0,1,0))+(IF(AF2&gt;0,1,0))+(IF(AH2&gt;0,1,0))+(IF(AG2&gt;0,1,0))+(IF(__xlnm._FilterDatabase_158[[#This Row],[Apr2]]&gt;0,1,0)+(IF(__xlnm._FilterDatabase_158[[#This Row],[Jun2]]&gt;0,1,0))))</calculatedColumnFormula>
    </tableColumn>
    <tableColumn id="10" xr3:uid="{68912572-C853-453C-8725-C8CC4CA3A85C}" name="Resuls" dataDxfId="93">
      <calculatedColumnFormula>(LARGE(L2:AI2,1)+LARGE(L2:AI2,2)+LARGE(L2:AI2,3)+LARGE(L2:AI2,4)+LARGE(L2:AI2,5))/5</calculatedColumnFormula>
    </tableColumn>
    <tableColumn id="11" xr3:uid="{7D3657F5-C4F4-4715-B4EE-A5BC82496D5B}" name="Jan"/>
    <tableColumn id="30" xr3:uid="{2D258B3A-34D9-4C67-8EFF-A85D5FDCC285}" name="Jan2" dataDxfId="92" dataCellStyle="Excel Built-in Normal"/>
    <tableColumn id="12" xr3:uid="{AE624B69-C9EF-4446-80A6-DFFED39A16BC}" name="Feb"/>
    <tableColumn id="31" xr3:uid="{F80F47E1-512D-4E80-A6D5-13C4F2F48235}" name="Feb2" dataDxfId="91" dataCellStyle="Excel Built-in Normal"/>
    <tableColumn id="13" xr3:uid="{8BCF2F1B-40A1-494E-A40D-6F9963290AC9}" name="Mar"/>
    <tableColumn id="23" xr3:uid="{2C65C345-DBB9-41A7-938A-E19DC0BC688E}" name="Mar2" dataDxfId="90" dataCellStyle="Excel Built-in Normal"/>
    <tableColumn id="14" xr3:uid="{FBFDCA8E-0A92-40C9-96F4-EE9D64401F66}" name="Apr"/>
    <tableColumn id="33" xr3:uid="{774D1AED-D8DB-4B43-83BB-032616951699}" name="Apr2" dataDxfId="89" dataCellStyle="Excel Built-in Normal"/>
    <tableColumn id="15" xr3:uid="{2CB32568-4141-450B-87B8-3221F9757CFC}" name="May"/>
    <tableColumn id="24" xr3:uid="{3211A7EC-FEB8-4F2F-88BD-9136A4AB82E8}" name="May 2" dataDxfId="88" dataCellStyle="Excel Built-in Normal"/>
    <tableColumn id="16" xr3:uid="{6360C188-A930-458E-8D21-750154EB4375}" name="Jun"/>
    <tableColumn id="35" xr3:uid="{EBA265CC-8D2C-4D21-9271-5968412EC01D}" name="Jun2" dataDxfId="87" dataCellStyle="Excel Built-in Normal"/>
    <tableColumn id="17" xr3:uid="{A860B3E1-3516-4751-94FF-89951006B183}" name="Jul"/>
    <tableColumn id="25" xr3:uid="{D5820766-58ED-448E-B22A-8D9F284E8AC2}" name="Jul2" dataDxfId="86" dataCellStyle="Excel Built-in Normal"/>
    <tableColumn id="18" xr3:uid="{EA2AEFD4-BA4E-46E8-A694-1C54557A353F}" name="Aug"/>
    <tableColumn id="26" xr3:uid="{79875402-1B73-4D1A-92F9-719B5740AB29}" name="Aug2" dataDxfId="85" dataCellStyle="Excel Built-in Normal"/>
    <tableColumn id="19" xr3:uid="{10AE7EA6-8257-4C39-A876-8C57F053A222}" name="Sep"/>
    <tableColumn id="27" xr3:uid="{343E0DFB-87CA-4A30-A9F8-7537EE7DBA05}" name="Sep2" dataDxfId="84" dataCellStyle="Excel Built-in Normal"/>
    <tableColumn id="20" xr3:uid="{31610A39-C614-4AA3-BFC6-5645CFA86EC0}" name="Oct"/>
    <tableColumn id="28" xr3:uid="{4DAE783F-1225-4533-8114-1017F462928C}" name="Oct2" dataDxfId="83" dataCellStyle="Excel Built-in Normal"/>
    <tableColumn id="21" xr3:uid="{FB4208C2-991A-4034-AB53-6482A054D3B4}" name="Nov"/>
    <tableColumn id="29" xr3:uid="{258D2F81-69C9-47AC-B4F9-B7CC14C28B32}" name="Nov2" dataDxfId="82" dataCellStyle="Excel Built-in Normal"/>
    <tableColumn id="22" xr3:uid="{B9EF60A6-BCD5-44CC-B9DB-8CFAF6693CD0}" name="Dec"/>
    <tableColumn id="32" xr3:uid="{C0F9456C-37D9-4662-B521-FF492D760F09}" name="Dec2" dataDxfId="81" dataCellStyle="Excel Built-in 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1CB2D-2886-41BD-82FA-D1BD45CC911E}">
  <sheetPr codeName="Sheet1"/>
  <dimension ref="A1:EY148"/>
  <sheetViews>
    <sheetView zoomScale="70" zoomScaleNormal="70" workbookViewId="0">
      <selection activeCell="J160" sqref="J160"/>
    </sheetView>
  </sheetViews>
  <sheetFormatPr defaultRowHeight="14.4" x14ac:dyDescent="0.3"/>
  <cols>
    <col min="1" max="1" width="16.33203125" customWidth="1"/>
    <col min="2" max="2" width="20.44140625" hidden="1" customWidth="1"/>
    <col min="3" max="3" width="0" hidden="1" customWidth="1"/>
    <col min="4" max="4" width="12.6640625" hidden="1" customWidth="1"/>
    <col min="5" max="5" width="22.5546875" bestFit="1" customWidth="1"/>
    <col min="6" max="6" width="18.44140625" bestFit="1" customWidth="1"/>
    <col min="7" max="8" width="9.109375" customWidth="1"/>
    <col min="9" max="9" width="21.6640625" customWidth="1"/>
    <col min="10" max="10" width="18.88671875" bestFit="1" customWidth="1"/>
    <col min="11" max="11" width="14.44140625" style="47" customWidth="1"/>
  </cols>
  <sheetData>
    <row r="1" spans="1:155" x14ac:dyDescent="0.3">
      <c r="A1" t="s">
        <v>186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446</v>
      </c>
      <c r="I1" t="s">
        <v>6</v>
      </c>
      <c r="J1" t="s">
        <v>7</v>
      </c>
      <c r="K1" s="47" t="s">
        <v>245</v>
      </c>
      <c r="L1" t="s">
        <v>8</v>
      </c>
      <c r="M1" t="s">
        <v>287</v>
      </c>
      <c r="N1" t="s">
        <v>288</v>
      </c>
      <c r="O1" t="s">
        <v>289</v>
      </c>
      <c r="P1" t="s">
        <v>290</v>
      </c>
      <c r="Q1" t="s">
        <v>291</v>
      </c>
      <c r="R1" t="s">
        <v>292</v>
      </c>
      <c r="S1" t="s">
        <v>293</v>
      </c>
      <c r="T1" t="s">
        <v>294</v>
      </c>
      <c r="U1" t="s">
        <v>295</v>
      </c>
      <c r="V1" t="s">
        <v>296</v>
      </c>
      <c r="W1" t="s">
        <v>297</v>
      </c>
      <c r="X1" t="s">
        <v>298</v>
      </c>
      <c r="Y1" t="s">
        <v>299</v>
      </c>
      <c r="Z1" t="s">
        <v>300</v>
      </c>
      <c r="AA1" t="s">
        <v>301</v>
      </c>
      <c r="AB1" t="s">
        <v>302</v>
      </c>
      <c r="AC1" t="s">
        <v>303</v>
      </c>
      <c r="AD1" t="s">
        <v>304</v>
      </c>
      <c r="AE1" t="s">
        <v>305</v>
      </c>
      <c r="AF1" t="s">
        <v>306</v>
      </c>
      <c r="AG1" t="s">
        <v>307</v>
      </c>
      <c r="AH1" t="s">
        <v>308</v>
      </c>
      <c r="AI1" t="s">
        <v>309</v>
      </c>
      <c r="AJ1" t="s">
        <v>310</v>
      </c>
      <c r="AK1" t="s">
        <v>311</v>
      </c>
      <c r="AL1" t="s">
        <v>312</v>
      </c>
      <c r="AM1" t="s">
        <v>313</v>
      </c>
      <c r="AN1" t="s">
        <v>314</v>
      </c>
      <c r="AO1" t="s">
        <v>315</v>
      </c>
      <c r="AP1" t="s">
        <v>316</v>
      </c>
      <c r="AQ1" t="s">
        <v>317</v>
      </c>
      <c r="AR1" t="s">
        <v>318</v>
      </c>
      <c r="AS1" t="s">
        <v>319</v>
      </c>
      <c r="AT1" t="s">
        <v>320</v>
      </c>
      <c r="AU1" t="s">
        <v>321</v>
      </c>
      <c r="AV1" t="s">
        <v>322</v>
      </c>
      <c r="AW1" t="s">
        <v>323</v>
      </c>
      <c r="AX1" t="s">
        <v>324</v>
      </c>
      <c r="AY1" t="s">
        <v>325</v>
      </c>
      <c r="AZ1" t="s">
        <v>326</v>
      </c>
      <c r="BA1" t="s">
        <v>327</v>
      </c>
      <c r="BB1" t="s">
        <v>328</v>
      </c>
      <c r="BC1" t="s">
        <v>329</v>
      </c>
      <c r="BD1" t="s">
        <v>330</v>
      </c>
      <c r="BE1" t="s">
        <v>331</v>
      </c>
      <c r="BF1" t="s">
        <v>332</v>
      </c>
      <c r="BG1" t="s">
        <v>333</v>
      </c>
      <c r="BH1" t="s">
        <v>334</v>
      </c>
      <c r="BI1" t="s">
        <v>335</v>
      </c>
      <c r="BJ1" t="s">
        <v>336</v>
      </c>
      <c r="BK1" t="s">
        <v>337</v>
      </c>
      <c r="BL1" t="s">
        <v>338</v>
      </c>
      <c r="BM1" t="s">
        <v>339</v>
      </c>
      <c r="BN1" t="s">
        <v>340</v>
      </c>
      <c r="BO1" t="s">
        <v>341</v>
      </c>
      <c r="BP1" t="s">
        <v>342</v>
      </c>
      <c r="BQ1" t="s">
        <v>343</v>
      </c>
      <c r="BR1" t="s">
        <v>344</v>
      </c>
      <c r="BS1" t="s">
        <v>345</v>
      </c>
      <c r="BT1" t="s">
        <v>346</v>
      </c>
      <c r="BU1" t="s">
        <v>347</v>
      </c>
      <c r="BV1" t="s">
        <v>348</v>
      </c>
      <c r="BW1" t="s">
        <v>349</v>
      </c>
      <c r="BX1" t="s">
        <v>350</v>
      </c>
      <c r="BY1" t="s">
        <v>351</v>
      </c>
      <c r="BZ1" t="s">
        <v>352</v>
      </c>
      <c r="CA1" t="s">
        <v>353</v>
      </c>
      <c r="CB1" t="s">
        <v>354</v>
      </c>
      <c r="CC1" t="s">
        <v>355</v>
      </c>
      <c r="CD1" t="s">
        <v>356</v>
      </c>
      <c r="CE1" t="s">
        <v>357</v>
      </c>
      <c r="CF1" t="s">
        <v>358</v>
      </c>
      <c r="CG1" t="s">
        <v>359</v>
      </c>
      <c r="CH1" t="s">
        <v>360</v>
      </c>
      <c r="CI1" t="s">
        <v>361</v>
      </c>
      <c r="CJ1" t="s">
        <v>362</v>
      </c>
      <c r="CK1" t="s">
        <v>363</v>
      </c>
      <c r="CL1" t="s">
        <v>364</v>
      </c>
      <c r="CM1" t="s">
        <v>365</v>
      </c>
      <c r="CN1" t="s">
        <v>366</v>
      </c>
      <c r="CO1" t="s">
        <v>367</v>
      </c>
      <c r="CP1" t="s">
        <v>368</v>
      </c>
      <c r="CQ1" t="s">
        <v>369</v>
      </c>
      <c r="CR1" t="s">
        <v>370</v>
      </c>
      <c r="CS1" t="s">
        <v>371</v>
      </c>
      <c r="CT1" t="s">
        <v>372</v>
      </c>
      <c r="CU1" t="s">
        <v>373</v>
      </c>
      <c r="CV1" t="s">
        <v>374</v>
      </c>
      <c r="CW1" t="s">
        <v>375</v>
      </c>
      <c r="CX1" t="s">
        <v>376</v>
      </c>
      <c r="CY1" t="s">
        <v>377</v>
      </c>
      <c r="CZ1" t="s">
        <v>378</v>
      </c>
      <c r="DA1" t="s">
        <v>379</v>
      </c>
      <c r="DB1" t="s">
        <v>380</v>
      </c>
      <c r="DC1" t="s">
        <v>381</v>
      </c>
      <c r="DD1" t="s">
        <v>382</v>
      </c>
      <c r="DE1" t="s">
        <v>383</v>
      </c>
      <c r="DF1" t="s">
        <v>384</v>
      </c>
      <c r="DG1" t="s">
        <v>385</v>
      </c>
      <c r="DH1" t="s">
        <v>386</v>
      </c>
      <c r="DI1" t="s">
        <v>387</v>
      </c>
      <c r="DJ1" t="s">
        <v>388</v>
      </c>
      <c r="DK1" t="s">
        <v>389</v>
      </c>
      <c r="DL1" t="s">
        <v>390</v>
      </c>
      <c r="DM1" t="s">
        <v>391</v>
      </c>
      <c r="DN1" t="s">
        <v>392</v>
      </c>
      <c r="DO1" t="s">
        <v>393</v>
      </c>
      <c r="DP1" t="s">
        <v>394</v>
      </c>
      <c r="DQ1" t="s">
        <v>395</v>
      </c>
      <c r="DR1" t="s">
        <v>396</v>
      </c>
      <c r="DS1" t="s">
        <v>397</v>
      </c>
      <c r="DT1" t="s">
        <v>398</v>
      </c>
      <c r="DU1" t="s">
        <v>399</v>
      </c>
      <c r="DV1" t="s">
        <v>400</v>
      </c>
      <c r="DW1" t="s">
        <v>401</v>
      </c>
      <c r="DX1" t="s">
        <v>402</v>
      </c>
      <c r="DY1" t="s">
        <v>403</v>
      </c>
      <c r="DZ1" t="s">
        <v>404</v>
      </c>
      <c r="EA1" t="s">
        <v>405</v>
      </c>
      <c r="EB1" t="s">
        <v>406</v>
      </c>
      <c r="EC1" t="s">
        <v>407</v>
      </c>
      <c r="ED1" t="s">
        <v>408</v>
      </c>
      <c r="EE1" t="s">
        <v>409</v>
      </c>
      <c r="EF1" t="s">
        <v>410</v>
      </c>
      <c r="EG1" t="s">
        <v>411</v>
      </c>
      <c r="EH1" t="s">
        <v>412</v>
      </c>
      <c r="EI1" t="s">
        <v>413</v>
      </c>
      <c r="EJ1" t="s">
        <v>414</v>
      </c>
      <c r="EK1" t="s">
        <v>415</v>
      </c>
      <c r="EL1" t="s">
        <v>416</v>
      </c>
      <c r="EM1" t="s">
        <v>417</v>
      </c>
      <c r="EN1" t="s">
        <v>418</v>
      </c>
      <c r="EO1" t="s">
        <v>419</v>
      </c>
      <c r="EP1" t="s">
        <v>420</v>
      </c>
      <c r="EQ1" t="s">
        <v>421</v>
      </c>
      <c r="ER1" t="s">
        <v>422</v>
      </c>
      <c r="ES1" t="s">
        <v>423</v>
      </c>
      <c r="ET1" t="s">
        <v>424</v>
      </c>
      <c r="EU1" t="s">
        <v>425</v>
      </c>
      <c r="EV1" t="s">
        <v>426</v>
      </c>
      <c r="EW1" t="s">
        <v>427</v>
      </c>
      <c r="EX1" t="s">
        <v>428</v>
      </c>
      <c r="EY1" t="s">
        <v>429</v>
      </c>
    </row>
    <row r="2" spans="1:155" hidden="1" x14ac:dyDescent="0.3">
      <c r="A2" s="118">
        <v>127</v>
      </c>
      <c r="B2" s="82"/>
      <c r="C2" s="82"/>
      <c r="D2" s="82"/>
      <c r="E2" s="82" t="s">
        <v>65</v>
      </c>
      <c r="F2" s="82" t="s">
        <v>66</v>
      </c>
      <c r="G2" s="82" t="s">
        <v>63</v>
      </c>
      <c r="H2" s="82" t="s">
        <v>447</v>
      </c>
      <c r="I2" s="82" t="s">
        <v>67</v>
      </c>
      <c r="J2" s="82" t="s">
        <v>248</v>
      </c>
      <c r="K2" s="47">
        <f t="shared" ref="K2:K33" ca="1" si="0" xml:space="preserve"> IFERROR(DATE(LEFT(I2,2)+IF(LEFT(I2,2)&lt;RIGHT(YEAR(TODAY()),2),2000,1900),MID(I2,3,2),MID(I2,5,2)),"")</f>
        <v>21272</v>
      </c>
      <c r="L2" s="46">
        <f ca="1">DATEDIF(Table1[[#This Row],[Date of birth]],TODAY(),"Y")</f>
        <v>66</v>
      </c>
    </row>
    <row r="3" spans="1:155" hidden="1" x14ac:dyDescent="0.3">
      <c r="A3">
        <v>206</v>
      </c>
      <c r="E3" t="s">
        <v>137</v>
      </c>
      <c r="F3" t="s">
        <v>138</v>
      </c>
      <c r="G3" t="s">
        <v>139</v>
      </c>
      <c r="H3" s="82"/>
      <c r="I3" t="s">
        <v>140</v>
      </c>
      <c r="J3" t="str">
        <f ca="1">IF(MID(I3,8,1)="0","Lady",IF(Table1[[#This Row],[Age]]&gt;69,"GS",IF(Table1[[#This Row],[Age]]&gt;59,"SS",IF(Table1[[#This Row],[Age]]&gt;49,"S",IF(Table1[[#This Row],[Age]]&lt;17,"S Jnr",IF(Table1[[#This Row],[Age]]&lt;22,"Jnr"," "))))))</f>
        <v>S</v>
      </c>
      <c r="K3" s="47">
        <f t="shared" ca="1" si="0"/>
        <v>25503</v>
      </c>
      <c r="L3" s="46">
        <f ca="1">DATEDIF(Table1[[#This Row],[Date of birth]],TODAY(),"Y")</f>
        <v>55</v>
      </c>
    </row>
    <row r="4" spans="1:155" hidden="1" x14ac:dyDescent="0.3">
      <c r="A4" s="82">
        <v>250</v>
      </c>
      <c r="B4" s="82"/>
      <c r="C4" s="82"/>
      <c r="D4" s="82"/>
      <c r="E4" s="82" t="s">
        <v>10</v>
      </c>
      <c r="F4" s="82" t="s">
        <v>11</v>
      </c>
      <c r="G4" s="82" t="s">
        <v>12</v>
      </c>
      <c r="H4" s="82"/>
      <c r="I4" s="84" t="s">
        <v>260</v>
      </c>
      <c r="J4" t="str">
        <f ca="1">IF(MID(I4,8,1)="0","Lady",IF(Table1[[#This Row],[Age]]&gt;69,"GS",IF(Table1[[#This Row],[Age]]&gt;59,"SS",IF(Table1[[#This Row],[Age]]&gt;49,"S",IF(Table1[[#This Row],[Age]]&lt;17,"S Jnr",IF(Table1[[#This Row],[Age]]&lt;22,"Jnr"," "))))))</f>
        <v>SS</v>
      </c>
      <c r="K4" s="47">
        <f t="shared" ca="1" si="0"/>
        <v>21265</v>
      </c>
      <c r="L4" s="46">
        <f ca="1">DATEDIF(Table1[[#This Row],[Date of birth]],TODAY(),"Y")</f>
        <v>66</v>
      </c>
    </row>
    <row r="5" spans="1:155" hidden="1" x14ac:dyDescent="0.3">
      <c r="A5" s="119">
        <v>252</v>
      </c>
      <c r="C5" t="s">
        <v>9</v>
      </c>
      <c r="E5" t="s">
        <v>47</v>
      </c>
      <c r="F5" t="s">
        <v>48</v>
      </c>
      <c r="G5" t="s">
        <v>46</v>
      </c>
      <c r="H5" s="82" t="s">
        <v>447</v>
      </c>
      <c r="I5" t="s">
        <v>49</v>
      </c>
      <c r="J5" t="str">
        <f ca="1">IF(MID(I5,8,1)="0","Lady",IF(Table1[[#This Row],[Age]]&gt;69,"GS",IF(Table1[[#This Row],[Age]]&gt;59,"SS",IF(Table1[[#This Row],[Age]]&gt;49,"S",IF(Table1[[#This Row],[Age]]&lt;17,"S Jnr",IF(Table1[[#This Row],[Age]]&lt;22,"Jnr"," "))))))</f>
        <v>GS</v>
      </c>
      <c r="K5" s="47">
        <f t="shared" ca="1" si="0"/>
        <v>19900</v>
      </c>
      <c r="L5" s="46">
        <f ca="1">DATEDIF(Table1[[#This Row],[Date of birth]],TODAY(),"Y")</f>
        <v>70</v>
      </c>
    </row>
    <row r="6" spans="1:155" hidden="1" x14ac:dyDescent="0.3">
      <c r="A6" s="118">
        <v>259</v>
      </c>
      <c r="B6" s="82"/>
      <c r="C6" s="82"/>
      <c r="D6" s="82"/>
      <c r="E6" s="82" t="s">
        <v>116</v>
      </c>
      <c r="F6" s="82" t="s">
        <v>117</v>
      </c>
      <c r="G6" s="82" t="s">
        <v>118</v>
      </c>
      <c r="H6" s="82" t="s">
        <v>447</v>
      </c>
      <c r="I6" s="82" t="s">
        <v>119</v>
      </c>
      <c r="J6" t="str">
        <f>IF(MID(I6,8,1)="0","Lady",IF(Table1[[#This Row],[Age]]&gt;69,"GS",IF(Table1[[#This Row],[Age]]&gt;59,"SS",IF(Table1[[#This Row],[Age]]&gt;49,"S",IF(Table1[[#This Row],[Age]]&lt;17,"S Jnr",IF(Table1[[#This Row],[Age]]&lt;22,"Jnr"," "))))))</f>
        <v>Lady</v>
      </c>
      <c r="K6" s="47">
        <f t="shared" ca="1" si="0"/>
        <v>31128</v>
      </c>
      <c r="L6" s="46">
        <f ca="1">DATEDIF(Table1[[#This Row],[Date of birth]],TODAY(),"Y")</f>
        <v>39</v>
      </c>
    </row>
    <row r="7" spans="1:155" hidden="1" x14ac:dyDescent="0.3">
      <c r="A7" s="119">
        <v>288</v>
      </c>
      <c r="E7" t="s">
        <v>464</v>
      </c>
      <c r="F7" t="s">
        <v>123</v>
      </c>
      <c r="G7" t="s">
        <v>465</v>
      </c>
      <c r="H7" t="s">
        <v>447</v>
      </c>
      <c r="I7" s="45" t="s">
        <v>466</v>
      </c>
      <c r="J7" t="str">
        <f ca="1">IF(MID(I7,8,1)="0","Lady",IF(Table1[[#This Row],[Age]]&gt;69,"GS",IF(Table1[[#This Row],[Age]]&gt;59,"SS",IF(Table1[[#This Row],[Age]]&gt;49,"S",IF(Table1[[#This Row],[Age]]&lt;17,"S Jnr",IF(Table1[[#This Row],[Age]]&lt;22,"Jnr"," "))))))</f>
        <v>S</v>
      </c>
      <c r="K7" s="47">
        <f t="shared" ca="1" si="0"/>
        <v>25959</v>
      </c>
      <c r="L7" s="46">
        <f ca="1">DATEDIF(Table1[[#This Row],[Date of birth]],TODAY(),"Y")</f>
        <v>53</v>
      </c>
    </row>
    <row r="8" spans="1:155" hidden="1" x14ac:dyDescent="0.3">
      <c r="A8" s="118">
        <v>392</v>
      </c>
      <c r="B8" s="82"/>
      <c r="C8" s="82"/>
      <c r="D8" s="82"/>
      <c r="E8" s="82" t="s">
        <v>178</v>
      </c>
      <c r="F8" s="82" t="s">
        <v>179</v>
      </c>
      <c r="G8" s="82" t="s">
        <v>180</v>
      </c>
      <c r="H8" s="82" t="s">
        <v>447</v>
      </c>
      <c r="I8" s="82" t="s">
        <v>181</v>
      </c>
      <c r="J8" t="str">
        <f>IF(MID(I8,8,1)="0","Lady",IF(Table1[[#This Row],[Age]]&gt;69,"GS",IF(Table1[[#This Row],[Age]]&gt;59,"SS",IF(Table1[[#This Row],[Age]]&gt;49,"S",IF(Table1[[#This Row],[Age]]&lt;17,"S Jnr",IF(Table1[[#This Row],[Age]]&lt;22,"Jnr"," "))))))</f>
        <v>Lady</v>
      </c>
      <c r="K8" s="47">
        <f t="shared" ca="1" si="0"/>
        <v>33868</v>
      </c>
      <c r="L8" s="46">
        <f ca="1">DATEDIF(Table1[[#This Row],[Date of birth]],TODAY(),"Y")</f>
        <v>32</v>
      </c>
    </row>
    <row r="9" spans="1:155" x14ac:dyDescent="0.3">
      <c r="A9" s="118">
        <v>393</v>
      </c>
      <c r="B9" s="82"/>
      <c r="C9" s="82"/>
      <c r="D9" s="82"/>
      <c r="E9" s="82" t="s">
        <v>144</v>
      </c>
      <c r="F9" s="82" t="s">
        <v>79</v>
      </c>
      <c r="G9" s="82" t="s">
        <v>145</v>
      </c>
      <c r="H9" s="82" t="s">
        <v>447</v>
      </c>
      <c r="I9" s="82" t="s">
        <v>146</v>
      </c>
      <c r="J9" t="str">
        <f>IF(MID(I9,8,1)="0","Lady",IF(Table1[[#This Row],[Age]]&gt;69,"GS",IF(Table1[[#This Row],[Age]]&gt;59,"SS",IF(Table1[[#This Row],[Age]]&gt;49,"S",IF(Table1[[#This Row],[Age]]&lt;17,"S Jnr",IF(Table1[[#This Row],[Age]]&lt;22,"Jnr"," "))))))</f>
        <v>Lady</v>
      </c>
      <c r="K9" s="47">
        <f t="shared" ca="1" si="0"/>
        <v>23670</v>
      </c>
      <c r="L9" s="46">
        <f ca="1">DATEDIF(Table1[[#This Row],[Date of birth]],TODAY(),"Y")</f>
        <v>60</v>
      </c>
    </row>
    <row r="10" spans="1:155" hidden="1" x14ac:dyDescent="0.3">
      <c r="A10" s="118">
        <v>572</v>
      </c>
      <c r="B10" s="82"/>
      <c r="C10" s="82"/>
      <c r="D10" s="82"/>
      <c r="E10" s="82" t="s">
        <v>54</v>
      </c>
      <c r="F10" s="82" t="s">
        <v>55</v>
      </c>
      <c r="G10" s="82" t="s">
        <v>54</v>
      </c>
      <c r="H10" s="82" t="s">
        <v>447</v>
      </c>
      <c r="I10" s="82" t="s">
        <v>56</v>
      </c>
      <c r="J10" t="str">
        <f ca="1">IF(MID(I10,8,1)="0","Lady",IF(Table1[[#This Row],[Age]]&gt;69,"GS",IF(Table1[[#This Row],[Age]]&gt;59,"SS",IF(Table1[[#This Row],[Age]]&gt;49,"S",IF(Table1[[#This Row],[Age]]&lt;17,"S Jnr",IF(Table1[[#This Row],[Age]]&lt;22,"Jnr"," "))))))</f>
        <v>SS</v>
      </c>
      <c r="K10" s="47">
        <f t="shared" ca="1" si="0"/>
        <v>23661</v>
      </c>
      <c r="L10" s="46">
        <f ca="1">DATEDIF(Table1[[#This Row],[Date of birth]],TODAY(),"Y")</f>
        <v>60</v>
      </c>
    </row>
    <row r="11" spans="1:155" hidden="1" x14ac:dyDescent="0.3">
      <c r="A11" s="118">
        <v>591</v>
      </c>
      <c r="B11" s="82"/>
      <c r="C11" s="82"/>
      <c r="D11" s="82" t="s">
        <v>60</v>
      </c>
      <c r="E11" s="82" t="s">
        <v>61</v>
      </c>
      <c r="F11" s="82" t="s">
        <v>62</v>
      </c>
      <c r="G11" s="82" t="s">
        <v>63</v>
      </c>
      <c r="H11" s="82" t="s">
        <v>447</v>
      </c>
      <c r="I11" s="82" t="s">
        <v>64</v>
      </c>
      <c r="J11" t="str">
        <f ca="1">IF(MID(I11,8,1)="0","Lady",IF(Table1[[#This Row],[Age]]&gt;69,"GS",IF(Table1[[#This Row],[Age]]&gt;59,"SS",IF(Table1[[#This Row],[Age]]&gt;49,"S",IF(Table1[[#This Row],[Age]]&lt;17,"S Jnr",IF(Table1[[#This Row],[Age]]&lt;22,"Jnr"," "))))))</f>
        <v>GS</v>
      </c>
      <c r="K11" s="47">
        <f t="shared" ca="1" si="0"/>
        <v>18003</v>
      </c>
      <c r="L11" s="46">
        <f ca="1">DATEDIF(Table1[[#This Row],[Date of birth]],TODAY(),"Y")</f>
        <v>75</v>
      </c>
    </row>
    <row r="12" spans="1:155" hidden="1" x14ac:dyDescent="0.3">
      <c r="A12" s="118">
        <v>601</v>
      </c>
      <c r="B12" s="82"/>
      <c r="C12" s="82"/>
      <c r="D12" s="82"/>
      <c r="E12" s="82" t="s">
        <v>279</v>
      </c>
      <c r="F12" s="82" t="s">
        <v>62</v>
      </c>
      <c r="G12" s="82" t="s">
        <v>250</v>
      </c>
      <c r="H12" s="82" t="s">
        <v>447</v>
      </c>
      <c r="I12" s="84" t="s">
        <v>280</v>
      </c>
      <c r="J12" t="str">
        <f ca="1">IF(MID(I12,8,1)="0","Lady",IF(Table1[[#This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2" s="47">
        <f t="shared" ca="1" si="0"/>
        <v>28392</v>
      </c>
      <c r="L12" s="46">
        <f ca="1">DATEDIF(Table1[[#This Row],[Date of birth]],TODAY(),"Y")</f>
        <v>47</v>
      </c>
    </row>
    <row r="13" spans="1:155" hidden="1" x14ac:dyDescent="0.3">
      <c r="A13" s="82">
        <v>683</v>
      </c>
      <c r="B13" s="82"/>
      <c r="C13" s="82"/>
      <c r="D13" s="82"/>
      <c r="E13" s="82" t="s">
        <v>100</v>
      </c>
      <c r="F13" s="82" t="s">
        <v>101</v>
      </c>
      <c r="G13" s="82" t="s">
        <v>102</v>
      </c>
      <c r="H13" s="82"/>
      <c r="I13" s="82" t="s">
        <v>103</v>
      </c>
      <c r="J13" t="str">
        <f ca="1">IF(MID(I13,8,1)="0","Lady",IF(Table1[[#This Row],[Age]]&gt;69,"GS",IF(Table1[[#This Row],[Age]]&gt;59,"SS",IF(Table1[[#This Row],[Age]]&gt;49,"S",IF(Table1[[#This Row],[Age]]&lt;17,"S Jnr",IF(Table1[[#This Row],[Age]]&lt;22,"Jnr"," "))))))</f>
        <v>S</v>
      </c>
      <c r="K13" s="47">
        <f t="shared" ca="1" si="0"/>
        <v>24283</v>
      </c>
      <c r="L13" s="46">
        <f ca="1">DATEDIF(Table1[[#This Row],[Date of birth]],TODAY(),"Y")</f>
        <v>58</v>
      </c>
    </row>
    <row r="14" spans="1:155" hidden="1" x14ac:dyDescent="0.3">
      <c r="A14" s="119">
        <v>851</v>
      </c>
      <c r="E14" t="s">
        <v>96</v>
      </c>
      <c r="F14" t="s">
        <v>97</v>
      </c>
      <c r="G14" t="s">
        <v>98</v>
      </c>
      <c r="H14" s="82" t="s">
        <v>447</v>
      </c>
      <c r="I14" t="s">
        <v>99</v>
      </c>
      <c r="J14" t="str">
        <f ca="1">IF(MID(I14,8,1)="0","Lady",IF(Table1[[#This Row],[Age]]&gt;69,"GS",IF(Table1[[#This Row],[Age]]&gt;59,"SS",IF(Table1[[#This Row],[Age]]&gt;49,"S",IF(Table1[[#This Row],[Age]]&lt;17,"S Jnr",IF(Table1[[#This Row],[Age]]&lt;22,"Jnr"," "))))))</f>
        <v>SS</v>
      </c>
      <c r="K14" s="47">
        <f t="shared" ca="1" si="0"/>
        <v>20691</v>
      </c>
      <c r="L14" s="46">
        <f ca="1">DATEDIF(Table1[[#This Row],[Date of birth]],TODAY(),"Y")</f>
        <v>68</v>
      </c>
    </row>
    <row r="15" spans="1:155" hidden="1" x14ac:dyDescent="0.3">
      <c r="A15" s="118">
        <v>896</v>
      </c>
      <c r="B15" s="82"/>
      <c r="C15" s="82"/>
      <c r="D15" s="82"/>
      <c r="E15" s="82" t="s">
        <v>109</v>
      </c>
      <c r="F15" s="82" t="s">
        <v>110</v>
      </c>
      <c r="G15" s="82" t="s">
        <v>111</v>
      </c>
      <c r="H15" s="82" t="s">
        <v>447</v>
      </c>
      <c r="I15" s="82" t="s">
        <v>112</v>
      </c>
      <c r="J15" t="str">
        <f ca="1">IF(MID(I15,8,1)="0","Lady",IF(Table1[[#This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5" s="47">
        <f t="shared" ca="1" si="0"/>
        <v>28749</v>
      </c>
      <c r="L15" s="46">
        <f ca="1">DATEDIF(Table1[[#This Row],[Date of birth]],TODAY(),"Y")</f>
        <v>46</v>
      </c>
    </row>
    <row r="16" spans="1:155" hidden="1" x14ac:dyDescent="0.3">
      <c r="A16" s="118">
        <v>1113</v>
      </c>
      <c r="B16" s="82"/>
      <c r="C16" s="82"/>
      <c r="D16" s="82"/>
      <c r="E16" s="82" t="s">
        <v>75</v>
      </c>
      <c r="F16" s="82" t="s">
        <v>74</v>
      </c>
      <c r="G16" s="82" t="s">
        <v>73</v>
      </c>
      <c r="H16" s="82" t="s">
        <v>447</v>
      </c>
      <c r="I16" s="82" t="s">
        <v>76</v>
      </c>
      <c r="J16" t="str">
        <f ca="1">IF(MID(I16,8,1)="0","Lady",IF(Table1[[#This Row],[Age]]&gt;69,"GS",IF(Table1[[#This Row],[Age]]&gt;59,"SS",IF(Table1[[#This Row],[Age]]&gt;49,"S",IF(Table1[[#This Row],[Age]]&lt;17,"S Jnr",IF(Table1[[#This Row],[Age]]&lt;22,"Jnr"," "))))))</f>
        <v>SS</v>
      </c>
      <c r="K16" s="47">
        <f t="shared" ca="1" si="0"/>
        <v>23141</v>
      </c>
      <c r="L16" s="46">
        <f ca="1">DATEDIF(Table1[[#This Row],[Date of birth]],TODAY(),"Y")</f>
        <v>61</v>
      </c>
    </row>
    <row r="17" spans="1:12" hidden="1" x14ac:dyDescent="0.3">
      <c r="A17" s="82">
        <v>1321</v>
      </c>
      <c r="B17" s="82"/>
      <c r="C17" s="82"/>
      <c r="D17" s="82"/>
      <c r="E17" s="82" t="s">
        <v>124</v>
      </c>
      <c r="F17" s="82" t="s">
        <v>125</v>
      </c>
      <c r="G17" s="82" t="s">
        <v>126</v>
      </c>
      <c r="H17" s="82"/>
      <c r="I17" s="82" t="s">
        <v>127</v>
      </c>
      <c r="J17" t="str">
        <f ca="1">IF(MID(I17,8,1)="0","Lady",IF(Table1[[#This Row],[Age]]&gt;69,"GS",IF(Table1[[#This Row],[Age]]&gt;59,"SS",IF(Table1[[#This Row],[Age]]&gt;49,"S",IF(Table1[[#This Row],[Age]]&lt;17,"S Jnr",IF(Table1[[#This Row],[Age]]&lt;22,"Jnr"," "))))))</f>
        <v>S</v>
      </c>
      <c r="K17" s="47">
        <f t="shared" ca="1" si="0"/>
        <v>26505</v>
      </c>
      <c r="L17" s="46">
        <f ca="1">DATEDIF(Table1[[#This Row],[Date of birth]],TODAY(),"Y")</f>
        <v>52</v>
      </c>
    </row>
    <row r="18" spans="1:12" hidden="1" x14ac:dyDescent="0.3">
      <c r="A18" s="119">
        <v>1471</v>
      </c>
      <c r="D18" t="s">
        <v>128</v>
      </c>
      <c r="E18" t="s">
        <v>129</v>
      </c>
      <c r="F18" t="s">
        <v>130</v>
      </c>
      <c r="G18" t="s">
        <v>131</v>
      </c>
      <c r="H18" s="82" t="s">
        <v>447</v>
      </c>
      <c r="I18" t="s">
        <v>132</v>
      </c>
      <c r="J18" t="str">
        <f ca="1">IF(MID(I18,8,1)="0","Lady",IF(Table1[[#This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18" s="47">
        <f t="shared" ca="1" si="0"/>
        <v>29930</v>
      </c>
      <c r="L18" s="46">
        <f ca="1">DATEDIF(Table1[[#This Row],[Date of birth]],TODAY(),"Y")</f>
        <v>43</v>
      </c>
    </row>
    <row r="19" spans="1:12" hidden="1" x14ac:dyDescent="0.3">
      <c r="A19" s="82">
        <v>1637</v>
      </c>
      <c r="B19" s="82"/>
      <c r="C19" s="82"/>
      <c r="D19" s="82"/>
      <c r="E19" s="82" t="s">
        <v>20</v>
      </c>
      <c r="F19" s="82" t="s">
        <v>21</v>
      </c>
      <c r="G19" s="82" t="s">
        <v>22</v>
      </c>
      <c r="H19" s="82"/>
      <c r="I19" s="82" t="s">
        <v>23</v>
      </c>
      <c r="J19" t="str">
        <f ca="1">IF(MID(I19,8,1)="0","Lady",IF(Table1[[#This Row],[Age]]&gt;69,"GS",IF(Table1[[#This Row],[Age]]&gt;59,"SS",IF(Table1[[#This Row],[Age]]&gt;49,"S",IF(Table1[[#This Row],[Age]]&lt;17,"S Jnr",IF(Table1[[#This Row],[Age]]&lt;22,"Jnr"," "))))))</f>
        <v>GS</v>
      </c>
      <c r="K19" s="47">
        <f t="shared" ca="1" si="0"/>
        <v>19976</v>
      </c>
      <c r="L19" s="46">
        <f ca="1">DATEDIF(Table1[[#This Row],[Date of birth]],TODAY(),"Y")</f>
        <v>70</v>
      </c>
    </row>
    <row r="20" spans="1:12" hidden="1" x14ac:dyDescent="0.3">
      <c r="A20" s="119">
        <v>1716</v>
      </c>
      <c r="C20" t="s">
        <v>9</v>
      </c>
      <c r="E20" t="s">
        <v>13</v>
      </c>
      <c r="F20" t="s">
        <v>14</v>
      </c>
      <c r="G20" t="s">
        <v>15</v>
      </c>
      <c r="H20" s="82" t="s">
        <v>447</v>
      </c>
      <c r="I20" t="s">
        <v>16</v>
      </c>
      <c r="J20" t="str">
        <f ca="1">IF(MID(I20,8,1)="0","Lady",IF(Table1[[#This Row],[Age]]&gt;69,"GS",IF(Table1[[#This Row],[Age]]&gt;59,"SS",IF(Table1[[#This Row],[Age]]&gt;49,"S",IF(Table1[[#This Row],[Age]]&lt;17,"S Jnr",IF(Table1[[#This Row],[Age]]&lt;22,"Jnr"," "))))))</f>
        <v>S</v>
      </c>
      <c r="K20" s="47">
        <f t="shared" ca="1" si="0"/>
        <v>24150</v>
      </c>
      <c r="L20" s="46">
        <f ca="1">DATEDIF(Table1[[#This Row],[Date of birth]],TODAY(),"Y")</f>
        <v>58</v>
      </c>
    </row>
    <row r="21" spans="1:12" hidden="1" x14ac:dyDescent="0.3">
      <c r="A21" s="118">
        <v>1771</v>
      </c>
      <c r="B21" s="82"/>
      <c r="C21" s="82"/>
      <c r="D21" s="82"/>
      <c r="E21" s="82" t="s">
        <v>147</v>
      </c>
      <c r="F21" s="82" t="s">
        <v>148</v>
      </c>
      <c r="G21" s="82" t="s">
        <v>149</v>
      </c>
      <c r="H21" s="82" t="s">
        <v>447</v>
      </c>
      <c r="I21" s="82" t="s">
        <v>150</v>
      </c>
      <c r="J21" t="str">
        <f ca="1">IF(MID(I21,8,1)="0","Lady",IF(Table1[[#This Row],[Age]]&gt;69,"GS",IF(Table1[[#This Row],[Age]]&gt;59,"SS",IF(Table1[[#This Row],[Age]]&gt;49,"S",IF(Table1[[#This Row],[Age]]&lt;17,"S Jnr",IF(Table1[[#This Row],[Age]]&lt;22,"Jnr"," "))))))</f>
        <v>GS</v>
      </c>
      <c r="K21" s="47">
        <f t="shared" ca="1" si="0"/>
        <v>16046</v>
      </c>
      <c r="L21" s="46">
        <f ca="1">DATEDIF(Table1[[#This Row],[Date of birth]],TODAY(),"Y")</f>
        <v>81</v>
      </c>
    </row>
    <row r="22" spans="1:12" hidden="1" x14ac:dyDescent="0.3">
      <c r="A22" s="118">
        <v>1777</v>
      </c>
      <c r="B22" s="82"/>
      <c r="C22" s="82"/>
      <c r="D22" s="82"/>
      <c r="E22" s="82" t="s">
        <v>255</v>
      </c>
      <c r="F22" s="82" t="s">
        <v>256</v>
      </c>
      <c r="G22" s="82" t="s">
        <v>257</v>
      </c>
      <c r="H22" s="82" t="s">
        <v>447</v>
      </c>
      <c r="I22" s="84" t="s">
        <v>258</v>
      </c>
      <c r="J22" t="str">
        <f ca="1">IF(MID(I22,8,1)="0","Lady",IF(Table1[[#This Row],[Age]]&gt;69,"GS",IF(Table1[[#This Row],[Age]]&gt;59,"SS",IF(Table1[[#This Row],[Age]]&gt;49,"S",IF(Table1[[#This Row],[Age]]&lt;17,"S Jnr",IF(Table1[[#This Row],[Age]]&lt;22,"Jnr"," "))))))</f>
        <v>S</v>
      </c>
      <c r="K22" s="47">
        <f t="shared" ca="1" si="0"/>
        <v>26304</v>
      </c>
      <c r="L22" s="46">
        <f ca="1">DATEDIF(Table1[[#This Row],[Date of birth]],TODAY(),"Y")</f>
        <v>52</v>
      </c>
    </row>
    <row r="23" spans="1:12" hidden="1" x14ac:dyDescent="0.3">
      <c r="A23" s="82">
        <v>1929</v>
      </c>
      <c r="B23" s="82"/>
      <c r="C23" s="82"/>
      <c r="D23" s="82"/>
      <c r="E23" s="82" t="s">
        <v>29</v>
      </c>
      <c r="F23" s="82" t="s">
        <v>30</v>
      </c>
      <c r="G23" s="82" t="s">
        <v>27</v>
      </c>
      <c r="H23" s="82"/>
      <c r="I23" s="82" t="s">
        <v>31</v>
      </c>
      <c r="J23" t="str">
        <f ca="1">IF(MID(I23,8,1)="0","Lady",IF(Table1[[#This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3" s="47">
        <f t="shared" ca="1" si="0"/>
        <v>29559</v>
      </c>
      <c r="L23" s="46">
        <f ca="1">DATEDIF(Table1[[#This Row],[Date of birth]],TODAY(),"Y")</f>
        <v>44</v>
      </c>
    </row>
    <row r="24" spans="1:12" hidden="1" x14ac:dyDescent="0.3">
      <c r="A24" s="82">
        <v>1931</v>
      </c>
      <c r="B24" s="82"/>
      <c r="C24" s="82"/>
      <c r="D24" s="82"/>
      <c r="E24" s="82" t="s">
        <v>167</v>
      </c>
      <c r="F24" s="82" t="s">
        <v>168</v>
      </c>
      <c r="G24" s="82" t="s">
        <v>154</v>
      </c>
      <c r="H24" s="82"/>
      <c r="I24" s="82" t="s">
        <v>169</v>
      </c>
      <c r="J24" t="str">
        <f>IF(MID(I24,8,1)="0","Lady",IF(Table1[[#This Row],[Age]]&gt;69,"GS",IF(Table1[[#This Row],[Age]]&gt;59,"SS",IF(Table1[[#This Row],[Age]]&gt;49,"S",IF(Table1[[#This Row],[Age]]&lt;17,"S Jnr",IF(Table1[[#This Row],[Age]]&lt;22,"Jnr"," "))))))</f>
        <v>Lady</v>
      </c>
      <c r="K24" s="47">
        <f t="shared" ca="1" si="0"/>
        <v>24876</v>
      </c>
      <c r="L24" s="46">
        <f ca="1">DATEDIF(Table1[[#This Row],[Date of birth]],TODAY(),"Y")</f>
        <v>56</v>
      </c>
    </row>
    <row r="25" spans="1:12" hidden="1" x14ac:dyDescent="0.3">
      <c r="A25" s="118">
        <v>2051</v>
      </c>
      <c r="B25" s="82"/>
      <c r="C25" s="82"/>
      <c r="D25" s="82"/>
      <c r="E25" s="82" t="s">
        <v>155</v>
      </c>
      <c r="F25" s="82" t="s">
        <v>58</v>
      </c>
      <c r="G25" s="82" t="s">
        <v>156</v>
      </c>
      <c r="H25" s="82" t="s">
        <v>447</v>
      </c>
      <c r="I25" s="82" t="s">
        <v>157</v>
      </c>
      <c r="J25" t="str">
        <f ca="1">IF(MID(I25,8,1)="0","Lady",IF(Table1[[#This Row],[Age]]&gt;69,"GS",IF(Table1[[#This Row],[Age]]&gt;59,"SS",IF(Table1[[#This Row],[Age]]&gt;49,"S",IF(Table1[[#This Row],[Age]]&lt;17,"S Jnr",IF(Table1[[#This Row],[Age]]&lt;22,"Jnr"," "))))))</f>
        <v>GS</v>
      </c>
      <c r="K25" s="47">
        <f t="shared" ca="1" si="0"/>
        <v>18994</v>
      </c>
      <c r="L25" s="46">
        <f ca="1">DATEDIF(Table1[[#This Row],[Date of birth]],TODAY(),"Y")</f>
        <v>72</v>
      </c>
    </row>
    <row r="26" spans="1:12" hidden="1" x14ac:dyDescent="0.3">
      <c r="A26" s="118">
        <v>2089</v>
      </c>
      <c r="B26" s="82"/>
      <c r="C26" s="82"/>
      <c r="D26" s="82"/>
      <c r="E26" s="82" t="s">
        <v>57</v>
      </c>
      <c r="F26" s="82" t="s">
        <v>58</v>
      </c>
      <c r="G26" s="82" t="s">
        <v>46</v>
      </c>
      <c r="H26" s="82" t="s">
        <v>447</v>
      </c>
      <c r="I26" s="82" t="s">
        <v>59</v>
      </c>
      <c r="J26" t="str">
        <f ca="1">IF(MID(I26,8,1)="0","Lady",IF(Table1[[#This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6" s="47">
        <f t="shared" ca="1" si="0"/>
        <v>30244</v>
      </c>
      <c r="L26" s="46">
        <f ca="1">DATEDIF(Table1[[#This Row],[Date of birth]],TODAY(),"Y")</f>
        <v>42</v>
      </c>
    </row>
    <row r="27" spans="1:12" hidden="1" x14ac:dyDescent="0.3">
      <c r="A27" s="118">
        <v>2651</v>
      </c>
      <c r="B27" s="82"/>
      <c r="C27" s="82"/>
      <c r="D27" s="82"/>
      <c r="E27" s="82" t="s">
        <v>133</v>
      </c>
      <c r="F27" s="82" t="s">
        <v>134</v>
      </c>
      <c r="G27" s="82" t="s">
        <v>135</v>
      </c>
      <c r="H27" s="82" t="s">
        <v>447</v>
      </c>
      <c r="I27" s="82" t="s">
        <v>136</v>
      </c>
      <c r="J27" t="str">
        <f ca="1">IF(MID(I27,8,1)="0","Lady",IF(Table1[[#This Row],[Age]]&gt;69,"GS",IF(Table1[[#This Row],[Age]]&gt;59,"SS",IF(Table1[[#This Row],[Age]]&gt;49,"S",IF(Table1[[#This Row],[Age]]&lt;17,"S Jnr",IF(Table1[[#This Row],[Age]]&lt;22,"Jnr"," "))))))</f>
        <v>S</v>
      </c>
      <c r="K27" s="47">
        <f t="shared" ca="1" si="0"/>
        <v>26659</v>
      </c>
      <c r="L27" s="46">
        <f ca="1">DATEDIF(Table1[[#This Row],[Date of birth]],TODAY(),"Y")</f>
        <v>51</v>
      </c>
    </row>
    <row r="28" spans="1:12" hidden="1" x14ac:dyDescent="0.3">
      <c r="A28" s="118">
        <v>2655</v>
      </c>
      <c r="B28" s="82"/>
      <c r="C28" s="82"/>
      <c r="D28" s="82"/>
      <c r="E28" s="82" t="s">
        <v>152</v>
      </c>
      <c r="F28" s="82" t="s">
        <v>93</v>
      </c>
      <c r="G28" s="82" t="s">
        <v>151</v>
      </c>
      <c r="H28" s="82" t="s">
        <v>447</v>
      </c>
      <c r="I28" s="82" t="s">
        <v>153</v>
      </c>
      <c r="J28" t="str">
        <f ca="1">IF(MID(I28,8,1)="0","Lady",IF(Table1[[#This Row],[Age]]&gt;69,"GS",IF(Table1[[#This Row],[Age]]&gt;59,"SS",IF(Table1[[#This Row],[Age]]&gt;49,"S",IF(Table1[[#This Row],[Age]]&lt;17,"S Jnr",IF(Table1[[#This Row],[Age]]&lt;22,"Jnr"," "))))))</f>
        <v>Jnr</v>
      </c>
      <c r="K28" s="47">
        <f t="shared" ca="1" si="0"/>
        <v>39014</v>
      </c>
      <c r="L28" s="46">
        <f ca="1">DATEDIF(Table1[[#This Row],[Date of birth]],TODAY(),"Y")</f>
        <v>18</v>
      </c>
    </row>
    <row r="29" spans="1:12" hidden="1" x14ac:dyDescent="0.3">
      <c r="A29" s="82">
        <v>2950</v>
      </c>
      <c r="B29" s="82"/>
      <c r="C29" s="82"/>
      <c r="D29" s="82"/>
      <c r="E29" s="82" t="s">
        <v>141</v>
      </c>
      <c r="F29" s="82" t="s">
        <v>104</v>
      </c>
      <c r="G29" s="82" t="s">
        <v>142</v>
      </c>
      <c r="H29" s="82"/>
      <c r="I29" s="82" t="s">
        <v>143</v>
      </c>
      <c r="J29" t="str">
        <f ca="1">IF(MID(I29,8,1)="0","Lady",IF(Table1[[#This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29" s="47">
        <f t="shared" ca="1" si="0"/>
        <v>28786</v>
      </c>
      <c r="L29" s="46">
        <f ca="1">DATEDIF(Table1[[#This Row],[Date of birth]],TODAY(),"Y")</f>
        <v>46</v>
      </c>
    </row>
    <row r="30" spans="1:12" x14ac:dyDescent="0.3">
      <c r="A30" s="118">
        <v>3172</v>
      </c>
      <c r="B30" s="82"/>
      <c r="C30" s="82"/>
      <c r="D30" s="82"/>
      <c r="E30" s="82" t="s">
        <v>120</v>
      </c>
      <c r="F30" s="82" t="s">
        <v>79</v>
      </c>
      <c r="G30" s="82" t="s">
        <v>121</v>
      </c>
      <c r="H30" s="82" t="s">
        <v>447</v>
      </c>
      <c r="I30" s="82" t="s">
        <v>122</v>
      </c>
      <c r="J30" t="str">
        <f ca="1">IF(MID(I30,8,1)="0","Lady",IF(Table1[[#This Row],[Age]]&gt;69,"GS",IF(Table1[[#This Row],[Age]]&gt;59,"SS",IF(Table1[[#This Row],[Age]]&gt;49,"S",IF(Table1[[#This Row],[Age]]&lt;17,"S Jnr",IF(Table1[[#This Row],[Age]]&lt;22,"Jnr"," "))))))</f>
        <v>SS</v>
      </c>
      <c r="K30" s="47">
        <f t="shared" ca="1" si="0"/>
        <v>21501</v>
      </c>
      <c r="L30" s="46">
        <f ca="1">DATEDIF(Table1[[#This Row],[Date of birth]],TODAY(),"Y")</f>
        <v>66</v>
      </c>
    </row>
    <row r="31" spans="1:12" x14ac:dyDescent="0.3">
      <c r="A31" s="118">
        <v>3173</v>
      </c>
      <c r="B31" s="82"/>
      <c r="C31" s="82"/>
      <c r="D31" s="82" t="s">
        <v>77</v>
      </c>
      <c r="E31" s="82" t="s">
        <v>78</v>
      </c>
      <c r="F31" s="82" t="s">
        <v>79</v>
      </c>
      <c r="G31" s="82" t="s">
        <v>80</v>
      </c>
      <c r="H31" s="82" t="s">
        <v>447</v>
      </c>
      <c r="I31" s="82" t="s">
        <v>81</v>
      </c>
      <c r="J31" t="str">
        <f ca="1">IF(MID(I31,8,1)="0","Lady",IF(Table1[[#This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31" s="47">
        <f t="shared" ca="1" si="0"/>
        <v>33629</v>
      </c>
      <c r="L31" s="46">
        <f ca="1">DATEDIF(Table1[[#This Row],[Date of birth]],TODAY(),"Y")</f>
        <v>32</v>
      </c>
    </row>
    <row r="32" spans="1:12" hidden="1" x14ac:dyDescent="0.3">
      <c r="A32">
        <v>3338</v>
      </c>
      <c r="E32" t="s">
        <v>25</v>
      </c>
      <c r="F32" t="s">
        <v>26</v>
      </c>
      <c r="G32" t="s">
        <v>27</v>
      </c>
      <c r="H32" s="82"/>
      <c r="I32" t="s">
        <v>28</v>
      </c>
      <c r="J32" t="str">
        <f ca="1">IF(MID(I32,8,1)="0","Lady",IF(Table1[[#This Row],[Age]]&gt;69,"GS",IF(Table1[[#This Row],[Age]]&gt;59,"SS",IF(Table1[[#This Row],[Age]]&gt;49,"S",IF(Table1[[#This Row],[Age]]&lt;17,"S Jnr",IF(Table1[[#This Row],[Age]]&lt;22,"Jnr"," "))))))</f>
        <v>S</v>
      </c>
      <c r="K32" s="47">
        <f t="shared" ca="1" si="0"/>
        <v>25595</v>
      </c>
      <c r="L32" s="46">
        <f ca="1">DATEDIF(Table1[[#This Row],[Date of birth]],TODAY(),"Y")</f>
        <v>54</v>
      </c>
    </row>
    <row r="33" spans="1:12" hidden="1" x14ac:dyDescent="0.3">
      <c r="A33" s="118">
        <v>3339</v>
      </c>
      <c r="B33" s="82"/>
      <c r="C33" s="82"/>
      <c r="D33" s="82" t="s">
        <v>91</v>
      </c>
      <c r="E33" s="82" t="s">
        <v>92</v>
      </c>
      <c r="F33" s="82" t="s">
        <v>93</v>
      </c>
      <c r="G33" s="82" t="s">
        <v>94</v>
      </c>
      <c r="H33" s="82" t="s">
        <v>447</v>
      </c>
      <c r="I33" s="82" t="s">
        <v>95</v>
      </c>
      <c r="J33" t="str">
        <f ca="1">IF(MID(I33,8,1)="0","Lady",IF(Table1[[#This Row],[Age]]&gt;69,"GS",IF(Table1[[#This Row],[Age]]&gt;59,"SS",IF(Table1[[#This Row],[Age]]&gt;49,"S",IF(Table1[[#This Row],[Age]]&lt;17,"S Jnr",IF(Table1[[#This Row],[Age]]&lt;22,"Jnr"," "))))))</f>
        <v>S</v>
      </c>
      <c r="K33" s="47">
        <f t="shared" ca="1" si="0"/>
        <v>26511</v>
      </c>
      <c r="L33" s="46">
        <f ca="1">DATEDIF(Table1[[#This Row],[Date of birth]],TODAY(),"Y")</f>
        <v>52</v>
      </c>
    </row>
    <row r="34" spans="1:12" hidden="1" x14ac:dyDescent="0.3">
      <c r="A34" s="82">
        <v>3349</v>
      </c>
      <c r="D34" t="s">
        <v>158</v>
      </c>
      <c r="E34" t="s">
        <v>159</v>
      </c>
      <c r="F34" t="s">
        <v>160</v>
      </c>
      <c r="G34" t="s">
        <v>161</v>
      </c>
      <c r="H34" s="82"/>
      <c r="I34" t="s">
        <v>162</v>
      </c>
      <c r="J34" t="str">
        <f ca="1">IF(MID(I34,8,1)="0","Lady",IF(Table1[[#This Row],[Age]]&gt;69,"GS",IF(Table1[[#This Row],[Age]]&gt;59,"SS",IF(Table1[[#This Row],[Age]]&gt;49,"S",IF(Table1[[#This Row],[Age]]&lt;17,"S Jnr",IF(Table1[[#This Row],[Age]]&lt;22,"Jnr"," "))))))</f>
        <v>S</v>
      </c>
      <c r="K34" s="47">
        <f t="shared" ref="K34:K63" ca="1" si="1" xml:space="preserve"> IFERROR(DATE(LEFT(I34,2)+IF(LEFT(I34,2)&lt;RIGHT(YEAR(TODAY()),2),2000,1900),MID(I34,3,2),MID(I34,5,2)),"")</f>
        <v>26266</v>
      </c>
      <c r="L34" s="46">
        <f ca="1">DATEDIF(Table1[[#This Row],[Date of birth]],TODAY(),"Y")</f>
        <v>53</v>
      </c>
    </row>
    <row r="35" spans="1:12" hidden="1" x14ac:dyDescent="0.3">
      <c r="A35">
        <v>3350</v>
      </c>
      <c r="E35" t="s">
        <v>38</v>
      </c>
      <c r="F35" t="s">
        <v>26</v>
      </c>
      <c r="G35" t="s">
        <v>39</v>
      </c>
      <c r="H35" s="82"/>
      <c r="I35" t="s">
        <v>40</v>
      </c>
      <c r="J35" t="str">
        <f ca="1">IF(MID(I35,8,1)="0","Lady",IF(Table1[[#This Row],[Age]]&gt;69,"GS",IF(Table1[[#This Row],[Age]]&gt;59,"SS",IF(Table1[[#This Row],[Age]]&gt;49,"S",IF(Table1[[#This Row],[Age]]&lt;17,"S Jnr",IF(Table1[[#This Row],[Age]]&lt;22,"Jnr"," "))))))</f>
        <v>S</v>
      </c>
      <c r="K35" s="47">
        <f t="shared" ca="1" si="1"/>
        <v>26753</v>
      </c>
      <c r="L35" s="46">
        <f ca="1">DATEDIF(Table1[[#This Row],[Date of birth]],TODAY(),"Y")</f>
        <v>51</v>
      </c>
    </row>
    <row r="36" spans="1:12" hidden="1" x14ac:dyDescent="0.3">
      <c r="A36" s="119">
        <v>3576</v>
      </c>
      <c r="D36" t="s">
        <v>29</v>
      </c>
      <c r="E36" t="s">
        <v>32</v>
      </c>
      <c r="F36" t="s">
        <v>26</v>
      </c>
      <c r="G36" t="s">
        <v>33</v>
      </c>
      <c r="H36" s="82" t="s">
        <v>447</v>
      </c>
      <c r="I36" t="s">
        <v>34</v>
      </c>
      <c r="J36" t="str">
        <f ca="1">IF(MID(I36,8,1)="0","Lady",IF(Table1[[#This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36" s="47">
        <f t="shared" ca="1" si="1"/>
        <v>28159</v>
      </c>
      <c r="L36" s="46">
        <f ca="1">DATEDIF(Table1[[#This Row],[Date of birth]],TODAY(),"Y")</f>
        <v>47</v>
      </c>
    </row>
    <row r="37" spans="1:12" hidden="1" x14ac:dyDescent="0.3">
      <c r="A37" s="82">
        <v>3782</v>
      </c>
      <c r="B37" s="82"/>
      <c r="C37" s="82"/>
      <c r="D37" s="82"/>
      <c r="E37" s="82" t="s">
        <v>82</v>
      </c>
      <c r="F37" s="82" t="s">
        <v>83</v>
      </c>
      <c r="G37" s="82" t="s">
        <v>84</v>
      </c>
      <c r="H37" s="82"/>
      <c r="I37" s="82" t="s">
        <v>85</v>
      </c>
      <c r="J37" t="str">
        <f ca="1">IF(MID(I37,8,1)="0","Lady",IF(Table1[[#This Row],[Age]]&gt;69,"GS",IF(Table1[[#This Row],[Age]]&gt;59,"SS",IF(Table1[[#This Row],[Age]]&gt;49,"S",IF(Table1[[#This Row],[Age]]&lt;17,"S Jnr",IF(Table1[[#This Row],[Age]]&lt;22,"Jnr"," "))))))</f>
        <v>S</v>
      </c>
      <c r="K37" s="47">
        <f t="shared" ca="1" si="1"/>
        <v>25444</v>
      </c>
      <c r="L37" s="46">
        <f ca="1">DATEDIF(Table1[[#This Row],[Date of birth]],TODAY(),"Y")</f>
        <v>55</v>
      </c>
    </row>
    <row r="38" spans="1:12" hidden="1" x14ac:dyDescent="0.3">
      <c r="A38" s="118">
        <v>3822</v>
      </c>
      <c r="B38" s="82"/>
      <c r="C38" s="82"/>
      <c r="D38" s="82"/>
      <c r="E38" s="82" t="s">
        <v>170</v>
      </c>
      <c r="F38" s="82" t="s">
        <v>171</v>
      </c>
      <c r="G38" s="82" t="s">
        <v>172</v>
      </c>
      <c r="H38" s="82" t="s">
        <v>447</v>
      </c>
      <c r="I38" s="82" t="s">
        <v>173</v>
      </c>
      <c r="J38" t="str">
        <f ca="1">IF(MID(I38,8,1)="0","Lady",IF(Table1[[#This Row],[Age]]&gt;69,"GS",IF(Table1[[#This Row],[Age]]&gt;59,"SS",IF(Table1[[#This Row],[Age]]&gt;49,"S",IF(Table1[[#This Row],[Age]]&lt;17,"S Jnr",IF(Table1[[#This Row],[Age]]&lt;22,"Jnr"," "))))))</f>
        <v>S</v>
      </c>
      <c r="K38" s="47">
        <f t="shared" ca="1" si="1"/>
        <v>26557</v>
      </c>
      <c r="L38" s="46">
        <f ca="1">DATEDIF(Table1[[#This Row],[Date of birth]],TODAY(),"Y")</f>
        <v>52</v>
      </c>
    </row>
    <row r="39" spans="1:12" hidden="1" x14ac:dyDescent="0.3">
      <c r="A39" s="119">
        <v>3832</v>
      </c>
      <c r="C39" t="s">
        <v>9</v>
      </c>
      <c r="E39" t="s">
        <v>50</v>
      </c>
      <c r="F39" t="s">
        <v>51</v>
      </c>
      <c r="G39" t="s">
        <v>52</v>
      </c>
      <c r="H39" s="82" t="s">
        <v>447</v>
      </c>
      <c r="I39" t="s">
        <v>53</v>
      </c>
      <c r="J39" t="str">
        <f ca="1">IF(MID(I39,8,1)="0","Lady",IF(Table1[[#This Row],[Age]]&gt;69,"GS",IF(Table1[[#This Row],[Age]]&gt;59,"SS",IF(Table1[[#This Row],[Age]]&gt;49,"S",IF(Table1[[#This Row],[Age]]&lt;17,"S Jnr",IF(Table1[[#This Row],[Age]]&lt;22,"Jnr"," "))))))</f>
        <v>S</v>
      </c>
      <c r="K39" s="47">
        <f t="shared" ca="1" si="1"/>
        <v>25945</v>
      </c>
      <c r="L39" s="46">
        <f ca="1">DATEDIF(Table1[[#This Row],[Date of birth]],TODAY(),"Y")</f>
        <v>53</v>
      </c>
    </row>
    <row r="40" spans="1:12" hidden="1" x14ac:dyDescent="0.3">
      <c r="A40" s="118">
        <v>4094</v>
      </c>
      <c r="B40" s="82"/>
      <c r="C40" s="82"/>
      <c r="D40" s="82"/>
      <c r="E40" s="82" t="s">
        <v>113</v>
      </c>
      <c r="F40" s="82" t="s">
        <v>114</v>
      </c>
      <c r="G40" s="82" t="s">
        <v>107</v>
      </c>
      <c r="H40" s="82" t="s">
        <v>447</v>
      </c>
      <c r="I40" s="84" t="s">
        <v>249</v>
      </c>
      <c r="J40" t="str">
        <f ca="1">IF(MID(I40,8,1)="0","Lady",IF(Table1[[#This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0" s="47">
        <f t="shared" ca="1" si="1"/>
        <v>29864</v>
      </c>
      <c r="L40" s="46">
        <f ca="1">DATEDIF(Table1[[#This Row],[Date of birth]],TODAY(),"Y")</f>
        <v>43</v>
      </c>
    </row>
    <row r="41" spans="1:12" hidden="1" x14ac:dyDescent="0.3">
      <c r="A41" s="118">
        <v>4316</v>
      </c>
      <c r="B41" s="82"/>
      <c r="C41" s="82" t="s">
        <v>9</v>
      </c>
      <c r="D41" s="82" t="s">
        <v>174</v>
      </c>
      <c r="E41" s="82" t="s">
        <v>175</v>
      </c>
      <c r="F41" s="82" t="s">
        <v>86</v>
      </c>
      <c r="G41" s="82" t="s">
        <v>176</v>
      </c>
      <c r="H41" s="82" t="s">
        <v>447</v>
      </c>
      <c r="I41" s="82" t="s">
        <v>177</v>
      </c>
      <c r="J41" t="str">
        <f ca="1">IF(MID(I41,8,1)="0","Lady",IF(Table1[[#This Row],[Age]]&gt;69,"GS",IF(Table1[[#This Row],[Age]]&gt;59,"SS",IF(Table1[[#This Row],[Age]]&gt;49,"S",IF(Table1[[#This Row],[Age]]&lt;17,"S Jnr",IF(Table1[[#This Row],[Age]]&lt;22,"Jnr"," "))))))</f>
        <v>S</v>
      </c>
      <c r="K41" s="47">
        <f t="shared" ca="1" si="1"/>
        <v>25380</v>
      </c>
      <c r="L41" s="46">
        <f ca="1">DATEDIF(Table1[[#This Row],[Date of birth]],TODAY(),"Y")</f>
        <v>55</v>
      </c>
    </row>
    <row r="42" spans="1:12" hidden="1" x14ac:dyDescent="0.3">
      <c r="A42">
        <v>4621</v>
      </c>
      <c r="E42" t="s">
        <v>35</v>
      </c>
      <c r="F42" t="s">
        <v>36</v>
      </c>
      <c r="G42" t="s">
        <v>24</v>
      </c>
      <c r="H42" s="82"/>
      <c r="I42" t="s">
        <v>37</v>
      </c>
      <c r="J42" t="str">
        <f ca="1">IF(MID(I42,8,1)="0","Lady",IF(Table1[[#This Row],[Age]]&gt;69,"GS",IF(Table1[[#This Row],[Age]]&gt;59,"SS",IF(Table1[[#This Row],[Age]]&gt;49,"S",IF(Table1[[#This Row],[Age]]&lt;17,"S Jnr",IF(Table1[[#This Row],[Age]]&lt;22,"Jnr"," "))))))</f>
        <v>SS</v>
      </c>
      <c r="K42" s="47">
        <f t="shared" ca="1" si="1"/>
        <v>22382</v>
      </c>
      <c r="L42" s="46">
        <f ca="1">DATEDIF(Table1[[#This Row],[Date of birth]],TODAY(),"Y")</f>
        <v>63</v>
      </c>
    </row>
    <row r="43" spans="1:12" hidden="1" x14ac:dyDescent="0.3">
      <c r="A43" s="119">
        <v>4624</v>
      </c>
      <c r="C43" t="s">
        <v>9</v>
      </c>
      <c r="D43" t="s">
        <v>163</v>
      </c>
      <c r="E43" t="s">
        <v>164</v>
      </c>
      <c r="F43" t="s">
        <v>165</v>
      </c>
      <c r="G43" t="s">
        <v>161</v>
      </c>
      <c r="H43" s="82" t="s">
        <v>447</v>
      </c>
      <c r="I43" t="s">
        <v>166</v>
      </c>
      <c r="J43" t="str">
        <f ca="1">IF(MID(I43,8,1)="0","Lady",IF(Table1[[#This Row],[Age]]&gt;69,"GS",IF(Table1[[#This Row],[Age]]&gt;59,"SS",IF(Table1[[#This Row],[Age]]&gt;49,"S",IF(Table1[[#This Row],[Age]]&lt;17,"S Jnr",IF(Table1[[#This Row],[Age]]&lt;22,"Jnr"," "))))))</f>
        <v>S</v>
      </c>
      <c r="K43" s="47">
        <f t="shared" ca="1" si="1"/>
        <v>24688</v>
      </c>
      <c r="L43" s="46">
        <f ca="1">DATEDIF(Table1[[#This Row],[Date of birth]],TODAY(),"Y")</f>
        <v>57</v>
      </c>
    </row>
    <row r="44" spans="1:12" hidden="1" x14ac:dyDescent="0.3">
      <c r="A44" s="118">
        <v>4672</v>
      </c>
      <c r="B44" s="82"/>
      <c r="C44" s="82" t="s">
        <v>9</v>
      </c>
      <c r="D44" s="82" t="s">
        <v>68</v>
      </c>
      <c r="E44" s="82" t="s">
        <v>69</v>
      </c>
      <c r="F44" s="82" t="s">
        <v>70</v>
      </c>
      <c r="G44" s="82" t="s">
        <v>71</v>
      </c>
      <c r="H44" s="82" t="s">
        <v>447</v>
      </c>
      <c r="I44" s="82" t="s">
        <v>72</v>
      </c>
      <c r="J44" t="str">
        <f ca="1">IF(MID(I44,8,1)="0","Lady",IF(Table1[[#This Row],[Age]]&gt;69,"GS",IF(Table1[[#This Row],[Age]]&gt;59,"SS",IF(Table1[[#This Row],[Age]]&gt;49,"S",IF(Table1[[#This Row],[Age]]&lt;17,"S Jnr",IF(Table1[[#This Row],[Age]]&lt;22,"Jnr"," "))))))</f>
        <v>SS</v>
      </c>
      <c r="K44" s="47">
        <f t="shared" ca="1" si="1"/>
        <v>23686</v>
      </c>
      <c r="L44" s="46">
        <f ca="1">DATEDIF(Table1[[#This Row],[Date of birth]],TODAY(),"Y")</f>
        <v>60</v>
      </c>
    </row>
    <row r="45" spans="1:12" hidden="1" x14ac:dyDescent="0.3">
      <c r="A45" s="118">
        <v>4858</v>
      </c>
      <c r="B45" s="82"/>
      <c r="C45" s="82"/>
      <c r="D45" s="82"/>
      <c r="E45" s="82" t="s">
        <v>105</v>
      </c>
      <c r="F45" s="82" t="s">
        <v>106</v>
      </c>
      <c r="G45" s="82" t="s">
        <v>107</v>
      </c>
      <c r="H45" s="82" t="s">
        <v>447</v>
      </c>
      <c r="I45" s="82" t="s">
        <v>108</v>
      </c>
      <c r="J45" t="str">
        <f ca="1">IF(MID(I45,8,1)="0","Lady",IF(Table1[[#This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5" s="47">
        <f t="shared" ca="1" si="1"/>
        <v>34132</v>
      </c>
      <c r="L45" s="46">
        <f ca="1">DATEDIF(Table1[[#This Row],[Date of birth]],TODAY(),"Y")</f>
        <v>31</v>
      </c>
    </row>
    <row r="46" spans="1:12" hidden="1" x14ac:dyDescent="0.3">
      <c r="A46" s="119">
        <v>4862</v>
      </c>
      <c r="E46" s="115" t="s">
        <v>267</v>
      </c>
      <c r="F46" s="115" t="s">
        <v>101</v>
      </c>
      <c r="G46" s="116" t="s">
        <v>268</v>
      </c>
      <c r="H46" s="82" t="s">
        <v>447</v>
      </c>
      <c r="I46" s="64" t="s">
        <v>269</v>
      </c>
      <c r="J46" t="str">
        <f ca="1">IF(MID(I46,8,1)="0","Lady",IF(Table1[[#This Row],[Age]]&gt;69,"GS",IF(Table1[[#This Row],[Age]]&gt;59,"SS",IF(Table1[[#This Row],[Age]]&gt;49,"S",IF(Table1[[#This Row],[Age]]&lt;17,"S Jnr",IF(Table1[[#This Row],[Age]]&lt;22,"Jnr"," "))))))</f>
        <v>S</v>
      </c>
      <c r="K46" s="47">
        <f t="shared" ca="1" si="1"/>
        <v>26109</v>
      </c>
      <c r="L46" s="46">
        <f ca="1">DATEDIF(Table1[[#This Row],[Date of birth]],TODAY(),"Y")</f>
        <v>53</v>
      </c>
    </row>
    <row r="47" spans="1:12" hidden="1" x14ac:dyDescent="0.3">
      <c r="A47" s="118">
        <v>4966</v>
      </c>
      <c r="B47" s="82"/>
      <c r="C47" s="82"/>
      <c r="D47" s="82" t="s">
        <v>182</v>
      </c>
      <c r="E47" s="82" t="s">
        <v>183</v>
      </c>
      <c r="F47" s="82" t="s">
        <v>184</v>
      </c>
      <c r="G47" s="82" t="s">
        <v>24</v>
      </c>
      <c r="H47" s="82" t="s">
        <v>447</v>
      </c>
      <c r="I47" s="82" t="s">
        <v>185</v>
      </c>
      <c r="J47" t="str">
        <f ca="1">IF(MID(I47,8,1)="0","Lady",IF(Table1[[#This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7" s="47">
        <f t="shared" ca="1" si="1"/>
        <v>32423</v>
      </c>
      <c r="L47" s="46">
        <f ca="1">DATEDIF(Table1[[#This Row],[Date of birth]],TODAY(),"Y")</f>
        <v>36</v>
      </c>
    </row>
    <row r="48" spans="1:12" hidden="1" x14ac:dyDescent="0.3">
      <c r="A48">
        <v>5200</v>
      </c>
      <c r="E48" t="s">
        <v>453</v>
      </c>
      <c r="F48" t="s">
        <v>454</v>
      </c>
      <c r="G48" t="s">
        <v>46</v>
      </c>
      <c r="I48" s="45" t="s">
        <v>455</v>
      </c>
      <c r="J48" t="str">
        <f ca="1">IF(MID(I48,8,1)="0","Lady",IF(Table1[[#This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8" s="47">
        <f t="shared" ca="1" si="1"/>
        <v>31496</v>
      </c>
      <c r="L48" s="46">
        <f ca="1">DATEDIF(Table1[[#This Row],[Date of birth]],TODAY(),"Y")</f>
        <v>38</v>
      </c>
    </row>
    <row r="49" spans="1:12" hidden="1" x14ac:dyDescent="0.3">
      <c r="A49" s="119">
        <v>5262</v>
      </c>
      <c r="C49" t="s">
        <v>9</v>
      </c>
      <c r="E49" t="s">
        <v>17</v>
      </c>
      <c r="F49" t="s">
        <v>18</v>
      </c>
      <c r="G49" t="s">
        <v>15</v>
      </c>
      <c r="H49" s="82" t="s">
        <v>447</v>
      </c>
      <c r="I49" t="s">
        <v>19</v>
      </c>
      <c r="J49" t="str">
        <f ca="1">IF(MID(I49,8,1)="0","Lady",IF(Table1[[#This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49" s="47">
        <f t="shared" ca="1" si="1"/>
        <v>28011</v>
      </c>
      <c r="L49" s="46">
        <f ca="1">DATEDIF(Table1[[#This Row],[Date of birth]],TODAY(),"Y")</f>
        <v>48</v>
      </c>
    </row>
    <row r="50" spans="1:12" hidden="1" x14ac:dyDescent="0.3">
      <c r="A50" s="82">
        <v>5304</v>
      </c>
      <c r="B50" s="82"/>
      <c r="C50" s="82"/>
      <c r="D50" s="82"/>
      <c r="E50" s="82" t="s">
        <v>251</v>
      </c>
      <c r="F50" s="82" t="s">
        <v>252</v>
      </c>
      <c r="G50" s="82" t="s">
        <v>253</v>
      </c>
      <c r="H50" s="82"/>
      <c r="I50" s="84" t="s">
        <v>254</v>
      </c>
      <c r="J50" t="str">
        <f ca="1">IF(MID(I50,8,1)="0","Lady",IF(Table1[[#This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0" s="47">
        <f t="shared" ca="1" si="1"/>
        <v>30328</v>
      </c>
      <c r="L50" s="46">
        <f ca="1">DATEDIF(Table1[[#This Row],[Date of birth]],TODAY(),"Y")</f>
        <v>41</v>
      </c>
    </row>
    <row r="51" spans="1:12" hidden="1" x14ac:dyDescent="0.3">
      <c r="A51" s="82">
        <v>5616</v>
      </c>
      <c r="B51" s="82"/>
      <c r="C51" s="82"/>
      <c r="D51" s="82" t="s">
        <v>41</v>
      </c>
      <c r="E51" s="82" t="s">
        <v>42</v>
      </c>
      <c r="F51" s="82" t="s">
        <v>43</v>
      </c>
      <c r="G51" s="82" t="s">
        <v>44</v>
      </c>
      <c r="H51" s="82"/>
      <c r="I51" s="82" t="s">
        <v>45</v>
      </c>
      <c r="J51" t="str">
        <f ca="1">IF(MID(I51,8,1)="0","Lady",IF(Table1[[#This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1" s="47">
        <f t="shared" ca="1" si="1"/>
        <v>31462</v>
      </c>
      <c r="L51" s="46">
        <f ca="1">DATEDIF(Table1[[#This Row],[Date of birth]],TODAY(),"Y")</f>
        <v>38</v>
      </c>
    </row>
    <row r="52" spans="1:12" hidden="1" x14ac:dyDescent="0.3">
      <c r="A52" s="118">
        <v>5804</v>
      </c>
      <c r="B52" s="82"/>
      <c r="C52" s="82"/>
      <c r="D52" s="82"/>
      <c r="E52" s="82" t="s">
        <v>270</v>
      </c>
      <c r="F52" s="82" t="s">
        <v>271</v>
      </c>
      <c r="G52" s="82" t="s">
        <v>272</v>
      </c>
      <c r="H52" s="82" t="s">
        <v>447</v>
      </c>
      <c r="I52" s="84" t="s">
        <v>273</v>
      </c>
      <c r="J52" t="str">
        <f ca="1">IF(MID(I52,8,1)="0","Lady",IF(Table1[[#This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2" s="47">
        <f t="shared" ca="1" si="1"/>
        <v>28375</v>
      </c>
      <c r="L52" s="46">
        <f ca="1">DATEDIF(Table1[[#This Row],[Date of birth]],TODAY(),"Y")</f>
        <v>47</v>
      </c>
    </row>
    <row r="53" spans="1:12" hidden="1" x14ac:dyDescent="0.3">
      <c r="A53" s="82">
        <v>5971</v>
      </c>
      <c r="B53" s="82"/>
      <c r="C53" s="82" t="s">
        <v>9</v>
      </c>
      <c r="D53" s="82"/>
      <c r="E53" s="82" t="s">
        <v>89</v>
      </c>
      <c r="F53" s="82" t="s">
        <v>18</v>
      </c>
      <c r="G53" s="82" t="s">
        <v>88</v>
      </c>
      <c r="H53" s="82"/>
      <c r="I53" s="82" t="s">
        <v>90</v>
      </c>
      <c r="J53" t="str">
        <f ca="1">IF(MID(I53,8,1)="0","Lady",IF(Table1[[#This Row],[Age]]&gt;69,"GS",IF(Table1[[#This Row],[Age]]&gt;59,"SS",IF(Table1[[#This Row],[Age]]&gt;49,"S",IF(Table1[[#This Row],[Age]]&lt;17,"S Jnr",IF(Table1[[#This Row],[Age]]&lt;22,"Jnr"," "))))))</f>
        <v>S</v>
      </c>
      <c r="K53" s="47">
        <f t="shared" ca="1" si="1"/>
        <v>26670</v>
      </c>
      <c r="L53" s="46">
        <f ca="1">DATEDIF(Table1[[#This Row],[Date of birth]],TODAY(),"Y")</f>
        <v>51</v>
      </c>
    </row>
    <row r="54" spans="1:12" hidden="1" x14ac:dyDescent="0.3">
      <c r="A54" s="82">
        <v>6308</v>
      </c>
      <c r="B54" s="117"/>
      <c r="C54" s="82"/>
      <c r="D54" s="82"/>
      <c r="E54" s="82" t="s">
        <v>246</v>
      </c>
      <c r="F54" s="82" t="s">
        <v>83</v>
      </c>
      <c r="G54" s="82" t="s">
        <v>115</v>
      </c>
      <c r="H54" s="82"/>
      <c r="I54" s="84" t="s">
        <v>247</v>
      </c>
      <c r="J54" t="str">
        <f ca="1">IF(MID(I54,8,1)="0","Lady",IF(Table1[[#This Row],[Age]]&gt;69,"GS",IF(Table1[[#This Row],[Age]]&gt;59,"SS",IF(Table1[[#This Row],[Age]]&gt;49,"S",IF(Table1[[#This Row],[Age]]&lt;17,"S Jnr",IF(Table1[[#This Row],[Age]]&lt;22,"Jnr"," "))))))</f>
        <v>Jnr</v>
      </c>
      <c r="K54" s="47">
        <f t="shared" ca="1" si="1"/>
        <v>38124</v>
      </c>
      <c r="L54" s="46">
        <f ca="1">DATEDIF(Table1[[#This Row],[Date of birth]],TODAY(),"Y")</f>
        <v>20</v>
      </c>
    </row>
    <row r="55" spans="1:12" hidden="1" x14ac:dyDescent="0.3">
      <c r="A55" s="118">
        <v>6564</v>
      </c>
      <c r="B55" s="82"/>
      <c r="C55" s="82"/>
      <c r="D55" s="82"/>
      <c r="E55" s="82" t="s">
        <v>261</v>
      </c>
      <c r="F55" s="82" t="s">
        <v>262</v>
      </c>
      <c r="G55" s="82" t="s">
        <v>263</v>
      </c>
      <c r="H55" s="82" t="s">
        <v>447</v>
      </c>
      <c r="I55" s="84" t="s">
        <v>264</v>
      </c>
      <c r="J55" t="str">
        <f ca="1">IF(MID(I55,8,1)="0","Lady",IF(Table1[[#This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5" s="47">
        <f t="shared" ca="1" si="1"/>
        <v>30477</v>
      </c>
      <c r="L55" s="46">
        <f ca="1">DATEDIF(Table1[[#This Row],[Date of birth]],TODAY(),"Y")</f>
        <v>41</v>
      </c>
    </row>
    <row r="56" spans="1:12" hidden="1" x14ac:dyDescent="0.3">
      <c r="A56" s="82">
        <v>6633</v>
      </c>
      <c r="B56" s="82"/>
      <c r="C56" s="82"/>
      <c r="D56" s="82"/>
      <c r="E56" s="82" t="s">
        <v>274</v>
      </c>
      <c r="F56" s="82" t="s">
        <v>11</v>
      </c>
      <c r="G56" s="82" t="s">
        <v>275</v>
      </c>
      <c r="H56" s="82"/>
      <c r="I56" s="84" t="s">
        <v>276</v>
      </c>
      <c r="J56" t="str">
        <f ca="1">IF(MID(I56,8,1)="0","Lady",IF(Table1[[#This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6" s="47">
        <f t="shared" ca="1" si="1"/>
        <v>36406</v>
      </c>
      <c r="L56" s="46">
        <f ca="1">DATEDIF(Table1[[#This Row],[Date of birth]],TODAY(),"Y")</f>
        <v>25</v>
      </c>
    </row>
    <row r="57" spans="1:12" hidden="1" x14ac:dyDescent="0.3">
      <c r="A57" s="82">
        <v>6846</v>
      </c>
      <c r="B57" s="82"/>
      <c r="C57" s="82"/>
      <c r="D57" s="82"/>
      <c r="E57" s="113" t="s">
        <v>286</v>
      </c>
      <c r="F57" s="82" t="s">
        <v>282</v>
      </c>
      <c r="G57" s="82" t="s">
        <v>283</v>
      </c>
      <c r="H57" s="82"/>
      <c r="I57" s="84" t="s">
        <v>284</v>
      </c>
      <c r="J57" t="str">
        <f ca="1">IF(MID(I57,8,1)="0","Lady",IF(Table1[[#This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7" s="47">
        <f t="shared" ca="1" si="1"/>
        <v>30049</v>
      </c>
      <c r="L57" s="46">
        <f ca="1">DATEDIF(Table1[[#This Row],[Date of birth]],TODAY(),"Y")</f>
        <v>42</v>
      </c>
    </row>
    <row r="58" spans="1:12" hidden="1" x14ac:dyDescent="0.3">
      <c r="A58" s="118">
        <v>6966</v>
      </c>
      <c r="B58" s="82"/>
      <c r="C58" s="82"/>
      <c r="D58" s="82"/>
      <c r="E58" s="82" t="s">
        <v>438</v>
      </c>
      <c r="F58" s="82" t="s">
        <v>439</v>
      </c>
      <c r="G58" s="82" t="s">
        <v>107</v>
      </c>
      <c r="H58" s="82" t="s">
        <v>447</v>
      </c>
      <c r="I58" s="84" t="s">
        <v>440</v>
      </c>
      <c r="J58" t="str">
        <f ca="1">IF(MID(I58,8,1)="0","Lady",IF(Table1[[#This Row],[Age]]&gt;69,"GS",IF(Table1[[#This Row],[Age]]&gt;59,"SS",IF(Table1[[#This Row],[Age]]&gt;49,"S",IF(Table1[[#This Row],[Age]]&lt;17,"S Jnr",IF(Table1[[#This Row],[Age]]&lt;22,"Jnr"," "))))))</f>
        <v>S</v>
      </c>
      <c r="K58" s="47">
        <f t="shared" ca="1" si="1"/>
        <v>26852</v>
      </c>
      <c r="L58" s="46">
        <f ca="1">DATEDIF(Table1[[#This Row],[Date of birth]],TODAY(),"Y")</f>
        <v>51</v>
      </c>
    </row>
    <row r="59" spans="1:12" hidden="1" x14ac:dyDescent="0.3">
      <c r="A59" s="118">
        <v>6968</v>
      </c>
      <c r="B59" s="82"/>
      <c r="C59" s="82"/>
      <c r="D59" s="82"/>
      <c r="E59" s="82" t="s">
        <v>441</v>
      </c>
      <c r="F59" s="82" t="s">
        <v>442</v>
      </c>
      <c r="G59" s="82" t="s">
        <v>443</v>
      </c>
      <c r="H59" s="82" t="s">
        <v>447</v>
      </c>
      <c r="I59" s="84" t="s">
        <v>444</v>
      </c>
      <c r="J59" t="str">
        <f ca="1">IF(MID(I59,8,1)="0","Lady",IF(Table1[[#This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59" s="47">
        <f t="shared" ca="1" si="1"/>
        <v>29178</v>
      </c>
      <c r="L59" s="46">
        <f ca="1">DATEDIF(Table1[[#This Row],[Date of birth]],TODAY(),"Y")</f>
        <v>45</v>
      </c>
    </row>
    <row r="60" spans="1:12" hidden="1" x14ac:dyDescent="0.3">
      <c r="A60" s="118">
        <v>7132</v>
      </c>
      <c r="B60" s="82"/>
      <c r="C60" s="82"/>
      <c r="D60" s="82"/>
      <c r="E60" s="82" t="s">
        <v>449</v>
      </c>
      <c r="F60" s="82" t="s">
        <v>450</v>
      </c>
      <c r="G60" s="82" t="s">
        <v>447</v>
      </c>
      <c r="H60" s="82" t="s">
        <v>447</v>
      </c>
      <c r="I60" s="84" t="s">
        <v>451</v>
      </c>
      <c r="J60" t="str">
        <f ca="1">IF(MID(I60,8,1)="0","Lady",IF(Table1[[#This Row],[Age]]&gt;69,"GS",IF(Table1[[#This Row],[Age]]&gt;59,"SS",IF(Table1[[#This Row],[Age]]&gt;49,"S",IF(Table1[[#This Row],[Age]]&lt;17,"S Jnr",IF(Table1[[#This Row],[Age]]&lt;22,"Jnr"," "))))))</f>
        <v>GS</v>
      </c>
      <c r="K60" s="47">
        <f t="shared" ca="1" si="1"/>
        <v>19484</v>
      </c>
      <c r="L60" s="46">
        <f ca="1">DATEDIF(Table1[[#This Row],[Date of birth]],TODAY(),"Y")</f>
        <v>71</v>
      </c>
    </row>
    <row r="61" spans="1:12" hidden="1" x14ac:dyDescent="0.3">
      <c r="A61">
        <v>7260</v>
      </c>
      <c r="E61" t="s">
        <v>456</v>
      </c>
      <c r="F61" t="s">
        <v>457</v>
      </c>
      <c r="G61" t="s">
        <v>87</v>
      </c>
      <c r="I61" s="45" t="s">
        <v>458</v>
      </c>
      <c r="J61" t="str">
        <f ca="1">IF(MID(I61,8,1)="0","Lady",IF(Table1[[#This Row],[Age]]&gt;69,"GS",IF(Table1[[#This Row],[Age]]&gt;59,"SS",IF(Table1[[#This Row],[Age]]&gt;49,"S",IF(Table1[[#This Row],[Age]]&lt;17,"S Jnr",IF(Table1[[#This Row],[Age]]&lt;22,"Jnr"," "))))))</f>
        <v>SS</v>
      </c>
      <c r="K61" s="47">
        <f t="shared" ca="1" si="1"/>
        <v>23483</v>
      </c>
      <c r="L61" s="46">
        <f ca="1">DATEDIF(Table1[[#This Row],[Date of birth]],TODAY(),"Y")</f>
        <v>60</v>
      </c>
    </row>
    <row r="62" spans="1:12" hidden="1" x14ac:dyDescent="0.3">
      <c r="A62" s="119">
        <v>7271</v>
      </c>
      <c r="E62" t="s">
        <v>113</v>
      </c>
      <c r="F62" t="s">
        <v>459</v>
      </c>
      <c r="G62" t="s">
        <v>107</v>
      </c>
      <c r="H62" t="s">
        <v>447</v>
      </c>
      <c r="I62" s="45" t="s">
        <v>460</v>
      </c>
      <c r="J62" t="str">
        <f ca="1">IF(MID(I62,8,1)="0","Lady",IF(Table1[[#This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62" s="47">
        <f t="shared" ca="1" si="1"/>
        <v>28803</v>
      </c>
      <c r="L62" s="46">
        <f ca="1">DATEDIF(Table1[[#This Row],[Date of birth]],TODAY(),"Y")</f>
        <v>46</v>
      </c>
    </row>
    <row r="63" spans="1:12" hidden="1" x14ac:dyDescent="0.3">
      <c r="A63" s="119">
        <v>7328</v>
      </c>
      <c r="E63" t="s">
        <v>461</v>
      </c>
      <c r="F63" t="s">
        <v>462</v>
      </c>
      <c r="G63" t="s">
        <v>154</v>
      </c>
      <c r="H63" t="s">
        <v>447</v>
      </c>
      <c r="I63" s="45" t="s">
        <v>463</v>
      </c>
      <c r="J63" t="str">
        <f ca="1">IF(MID(I63,8,1)="0","Lady",IF(Table1[[#This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63" s="47">
        <f t="shared" ca="1" si="1"/>
        <v>29312</v>
      </c>
      <c r="L63" s="46">
        <f ca="1">DATEDIF(Table1[[#This Row],[Date of birth]],TODAY(),"Y")</f>
        <v>44</v>
      </c>
    </row>
    <row r="64" spans="1:12" hidden="1" x14ac:dyDescent="0.3">
      <c r="A64" s="82">
        <v>7431</v>
      </c>
      <c r="B64" s="82"/>
      <c r="C64" s="82"/>
      <c r="D64" s="82"/>
      <c r="E64" s="82" t="s">
        <v>467</v>
      </c>
      <c r="F64" s="82" t="s">
        <v>468</v>
      </c>
      <c r="G64" s="82" t="s">
        <v>15</v>
      </c>
      <c r="H64" s="82"/>
      <c r="I64" s="84" t="s">
        <v>471</v>
      </c>
      <c r="L64" s="46"/>
    </row>
    <row r="65" spans="1:12" hidden="1" x14ac:dyDescent="0.3">
      <c r="A65">
        <v>7434</v>
      </c>
      <c r="E65" t="s">
        <v>469</v>
      </c>
      <c r="F65" t="s">
        <v>470</v>
      </c>
      <c r="G65" t="s">
        <v>154</v>
      </c>
      <c r="I65" s="45" t="s">
        <v>472</v>
      </c>
      <c r="J65" t="str">
        <f>IF(MID(I65,8,1)="0","Lady",IF(Table1[[#This Row],[Age]]&gt;69,"GS",IF(Table1[[#This Row],[Age]]&gt;59,"SS",IF(Table1[[#This Row],[Age]]&gt;49,"S",IF(Table1[[#This Row],[Age]]&lt;17,"S Jnr",IF(Table1[[#This Row],[Age]]&lt;22,"Jnr"," "))))))</f>
        <v>Lady</v>
      </c>
      <c r="K65" s="47">
        <f ca="1" xml:space="preserve"> IFERROR(DATE(LEFT(I65,2)+IF(LEFT(I65,2)&lt;RIGHT(YEAR(TODAY()),2),2000,1900),MID(I65,3,2),MID(I65,5,2)),"")</f>
        <v>33571</v>
      </c>
      <c r="L65" s="46">
        <f ca="1">DATEDIF(Table1[[#This Row],[Date of birth]],TODAY(),"Y")</f>
        <v>33</v>
      </c>
    </row>
    <row r="66" spans="1:12" hidden="1" x14ac:dyDescent="0.3">
      <c r="A66">
        <v>7478</v>
      </c>
      <c r="E66" t="s">
        <v>474</v>
      </c>
      <c r="F66" t="s">
        <v>475</v>
      </c>
      <c r="G66" t="s">
        <v>15</v>
      </c>
      <c r="I66" t="s">
        <v>476</v>
      </c>
      <c r="J66" t="str">
        <f>IF(MID(I66,8,1)="0","Lady",IF(Table1[[#This Row],[Age]]&gt;69,"GS",IF(Table1[[#This Row],[Age]]&gt;59,"SS",IF(Table1[[#This Row],[Age]]&gt;49,"S",IF(Table1[[#This Row],[Age]]&lt;17,"S Jnr",IF(Table1[[#This Row],[Age]]&lt;22,"Jnr"," "))))))</f>
        <v>Lady</v>
      </c>
      <c r="K66" s="47">
        <f ca="1" xml:space="preserve"> IFERROR(DATE(LEFT(I66,2)+IF(LEFT(I66,2)&lt;RIGHT(YEAR(TODAY()),2),2000,1900),MID(I66,3,2),MID(I66,5,2)),"")</f>
        <v>32634</v>
      </c>
      <c r="L66" s="61">
        <f ca="1">DATEDIF(Table1[[#This Row],[Date of birth]],TODAY(),"Y")</f>
        <v>35</v>
      </c>
    </row>
    <row r="67" spans="1:12" hidden="1" x14ac:dyDescent="0.3">
      <c r="A67" s="134">
        <v>3810</v>
      </c>
      <c r="B67" s="82"/>
      <c r="C67" s="82"/>
      <c r="D67" s="82"/>
      <c r="E67" s="82" t="s">
        <v>477</v>
      </c>
      <c r="F67" s="82" t="s">
        <v>478</v>
      </c>
      <c r="G67" s="82" t="s">
        <v>151</v>
      </c>
      <c r="H67" s="82"/>
      <c r="I67" s="82" t="s">
        <v>479</v>
      </c>
      <c r="J67" t="str">
        <f ca="1">IF(MID(I67,8,1)="0","Lady",IF(Table1[[#This Row],[Age]]&gt;69,"GS",IF(Table1[[#This Row],[Age]]&gt;59,"SS",IF(Table1[[#This Row],[Age]]&gt;49,"S",IF(Table1[[#This Row],[Age]]&lt;17,"S Jnr",IF(Table1[[#This Row],[Age]]&lt;22,"Jnr"," "))))))</f>
        <v>S</v>
      </c>
      <c r="K67" s="47">
        <f t="shared" ref="K67:K68" ca="1" si="2" xml:space="preserve"> IFERROR(DATE(LEFT(I67,2)+IF(LEFT(I67,2)&lt;RIGHT(YEAR(TODAY()),2),2000,1900),MID(I67,3,2),MID(I67,5,2)),"")</f>
        <v>24529</v>
      </c>
      <c r="L67" s="61">
        <f ca="1">DATEDIF(Table1[[#This Row],[Date of birth]],TODAY(),"Y")</f>
        <v>57</v>
      </c>
    </row>
    <row r="68" spans="1:12" hidden="1" x14ac:dyDescent="0.3">
      <c r="A68" s="134">
        <v>401</v>
      </c>
      <c r="B68" s="82"/>
      <c r="C68" s="82"/>
      <c r="D68" s="82"/>
      <c r="E68" s="82" t="s">
        <v>480</v>
      </c>
      <c r="F68" s="82" t="s">
        <v>481</v>
      </c>
      <c r="G68" s="82" t="s">
        <v>154</v>
      </c>
      <c r="H68" s="82"/>
      <c r="I68" s="82" t="s">
        <v>482</v>
      </c>
      <c r="J68" t="str">
        <f>IF(MID(I68,8,1)="0","Lady",IF(Table1[[#This Row],[Age]]&gt;69,"GS",IF(Table1[[#This Row],[Age]]&gt;59,"SS",IF(Table1[[#This Row],[Age]]&gt;49,"S",IF(Table1[[#This Row],[Age]]&lt;17,"S Jnr",IF(Table1[[#This Row],[Age]]&lt;22,"Jnr"," "))))))</f>
        <v>Lady</v>
      </c>
      <c r="K68" s="47">
        <f t="shared" ca="1" si="2"/>
        <v>19933</v>
      </c>
      <c r="L68" s="61">
        <f ca="1">DATEDIF(Table1[[#This Row],[Date of birth]],TODAY(),"Y")</f>
        <v>70</v>
      </c>
    </row>
    <row r="69" spans="1:12" hidden="1" x14ac:dyDescent="0.3">
      <c r="A69" s="134">
        <v>1547</v>
      </c>
      <c r="B69" s="82"/>
      <c r="C69" s="82"/>
      <c r="D69" s="82"/>
      <c r="E69" s="82" t="s">
        <v>483</v>
      </c>
      <c r="F69" s="82" t="s">
        <v>484</v>
      </c>
      <c r="G69" s="82" t="s">
        <v>485</v>
      </c>
      <c r="H69" s="82"/>
      <c r="I69" s="84" t="s">
        <v>486</v>
      </c>
      <c r="J69" t="str">
        <f ca="1">IF(MID(I69,8,1)="0","Lady",IF(Table1[[#This Row],[Age]]&gt;69,"GS",IF(Table1[[#This Row],[Age]]&gt;59,"SS",IF(Table1[[#This Row],[Age]]&gt;49,"S",IF(Table1[[#This Row],[Age]]&lt;17,"S Jnr",IF(Table1[[#This Row],[Age]]&lt;22,"Jnr"," "))))))</f>
        <v>S</v>
      </c>
      <c r="K69" s="47">
        <f t="shared" ref="K69" ca="1" si="3" xml:space="preserve"> IFERROR(DATE(LEFT(I69,2)+IF(LEFT(I69,2)&lt;RIGHT(YEAR(TODAY()),2),2000,1900),MID(I69,3,2),MID(I69,5,2)),"")</f>
        <v>26177</v>
      </c>
      <c r="L69" s="61">
        <f ca="1">DATEDIF(Table1[[#This Row],[Date of birth]],TODAY(),"Y")</f>
        <v>53</v>
      </c>
    </row>
    <row r="70" spans="1:12" hidden="1" x14ac:dyDescent="0.3">
      <c r="A70" s="134">
        <v>3837</v>
      </c>
      <c r="B70" s="82"/>
      <c r="C70" s="82"/>
      <c r="D70" s="82"/>
      <c r="E70" s="82" t="s">
        <v>487</v>
      </c>
      <c r="F70" s="82" t="s">
        <v>488</v>
      </c>
      <c r="G70" s="82" t="s">
        <v>54</v>
      </c>
      <c r="H70" s="82"/>
      <c r="I70" s="84" t="s">
        <v>489</v>
      </c>
      <c r="J70" t="str">
        <f ca="1">IF(MID(I70,8,1)="0","Lady",IF(Table1[[#This Row],[Age]]&gt;69,"GS",IF(Table1[[#This Row],[Age]]&gt;59,"SS",IF(Table1[[#This Row],[Age]]&gt;49,"S",IF(Table1[[#This Row],[Age]]&lt;17,"S Jnr",IF(Table1[[#This Row],[Age]]&lt;22,"Jnr"," "))))))</f>
        <v xml:space="preserve"> </v>
      </c>
      <c r="K70" s="47">
        <f t="shared" ref="K70" ca="1" si="4" xml:space="preserve"> IFERROR(DATE(LEFT(I70,2)+IF(LEFT(I70,2)&lt;RIGHT(YEAR(TODAY()),2),2000,1900),MID(I70,3,2),MID(I70,5,2)),"")</f>
        <v>27654</v>
      </c>
      <c r="L70" s="61">
        <f ca="1">DATEDIF(Table1[[#This Row],[Date of birth]],TODAY(),"Y")</f>
        <v>49</v>
      </c>
    </row>
    <row r="71" spans="1:12" hidden="1" x14ac:dyDescent="0.3">
      <c r="A71" s="134"/>
      <c r="B71" s="82"/>
      <c r="C71" s="82"/>
      <c r="D71" s="82"/>
      <c r="E71" s="82"/>
      <c r="F71" s="82"/>
      <c r="G71" s="82"/>
      <c r="H71" s="82"/>
      <c r="I71" s="85"/>
      <c r="L71" s="61"/>
    </row>
    <row r="72" spans="1:12" hidden="1" x14ac:dyDescent="0.3">
      <c r="A72" s="134"/>
      <c r="B72" s="82"/>
      <c r="C72" s="82"/>
      <c r="D72" s="82"/>
      <c r="E72" s="82"/>
      <c r="F72" s="82"/>
      <c r="G72" s="82"/>
      <c r="H72" s="82"/>
      <c r="I72" s="82"/>
      <c r="L72" s="46"/>
    </row>
    <row r="73" spans="1:12" hidden="1" x14ac:dyDescent="0.3">
      <c r="A73" s="134"/>
      <c r="B73" s="82"/>
      <c r="C73" s="82"/>
      <c r="D73" s="82"/>
      <c r="E73" s="82"/>
      <c r="F73" s="82"/>
      <c r="G73" s="82"/>
      <c r="H73" s="82"/>
      <c r="I73" s="82"/>
      <c r="L73" s="46"/>
    </row>
    <row r="74" spans="1:12" hidden="1" x14ac:dyDescent="0.3">
      <c r="A74" s="134"/>
      <c r="B74" s="82"/>
      <c r="C74" s="82"/>
      <c r="D74" s="82"/>
      <c r="E74" s="82"/>
      <c r="F74" s="82"/>
      <c r="G74" s="82"/>
      <c r="H74" s="82"/>
      <c r="I74" s="82"/>
      <c r="L74" s="46"/>
    </row>
    <row r="75" spans="1:12" hidden="1" x14ac:dyDescent="0.3">
      <c r="A75" s="134"/>
      <c r="H75" s="82"/>
      <c r="L75" s="46"/>
    </row>
    <row r="76" spans="1:12" hidden="1" x14ac:dyDescent="0.3">
      <c r="A76" s="134"/>
      <c r="B76" s="82"/>
      <c r="C76" s="82"/>
      <c r="D76" s="82"/>
      <c r="E76" s="82"/>
      <c r="F76" s="82"/>
      <c r="G76" s="82"/>
      <c r="H76" s="82"/>
      <c r="I76" s="82"/>
      <c r="L76" s="46"/>
    </row>
    <row r="77" spans="1:12" hidden="1" x14ac:dyDescent="0.3">
      <c r="A77" s="134"/>
      <c r="B77" s="82"/>
      <c r="C77" s="82"/>
      <c r="D77" s="82"/>
      <c r="E77" s="82"/>
      <c r="F77" s="82"/>
      <c r="G77" s="82"/>
      <c r="H77" s="82"/>
      <c r="I77" s="82"/>
      <c r="L77" s="46"/>
    </row>
    <row r="78" spans="1:12" hidden="1" x14ac:dyDescent="0.3">
      <c r="A78" s="134"/>
      <c r="B78" s="82"/>
      <c r="C78" s="82"/>
      <c r="D78" s="82"/>
      <c r="E78" s="82"/>
      <c r="F78" s="82"/>
      <c r="G78" s="82"/>
      <c r="H78" s="82"/>
      <c r="I78" s="84"/>
      <c r="L78" s="46"/>
    </row>
    <row r="79" spans="1:12" hidden="1" x14ac:dyDescent="0.3">
      <c r="A79" s="134"/>
      <c r="B79" s="82"/>
      <c r="C79" s="82"/>
      <c r="D79" s="82"/>
      <c r="E79" s="82"/>
      <c r="F79" s="82"/>
      <c r="G79" s="82"/>
      <c r="H79" s="82"/>
      <c r="I79" s="82"/>
      <c r="L79" s="46"/>
    </row>
    <row r="80" spans="1:12" hidden="1" x14ac:dyDescent="0.3">
      <c r="A80" s="134"/>
      <c r="B80" s="82"/>
      <c r="C80" s="82"/>
      <c r="D80" s="82"/>
      <c r="E80" s="82"/>
      <c r="F80" s="82"/>
      <c r="G80" s="82"/>
      <c r="H80" s="82"/>
      <c r="I80" s="82"/>
      <c r="L80" s="46"/>
    </row>
    <row r="81" spans="1:12" hidden="1" x14ac:dyDescent="0.3">
      <c r="A81" s="134"/>
      <c r="B81" s="82"/>
      <c r="C81" s="82"/>
      <c r="D81" s="82"/>
      <c r="E81" s="82"/>
      <c r="F81" s="82"/>
      <c r="G81" s="82"/>
      <c r="H81" s="82"/>
      <c r="I81" s="84"/>
      <c r="L81" s="46"/>
    </row>
    <row r="82" spans="1:12" hidden="1" x14ac:dyDescent="0.3">
      <c r="A82" s="134"/>
      <c r="B82" s="82"/>
      <c r="C82" s="82"/>
      <c r="D82" s="82"/>
      <c r="E82" s="82"/>
      <c r="F82" s="82"/>
      <c r="G82" s="82"/>
      <c r="H82" s="82"/>
      <c r="I82" s="82"/>
      <c r="L82" s="46"/>
    </row>
    <row r="83" spans="1:12" hidden="1" x14ac:dyDescent="0.3">
      <c r="A83" s="134"/>
      <c r="B83" s="82"/>
      <c r="C83" s="82"/>
      <c r="D83" s="82"/>
      <c r="E83" s="82"/>
      <c r="F83" s="82"/>
      <c r="G83" s="82"/>
      <c r="H83" s="82"/>
      <c r="I83" s="84"/>
      <c r="L83" s="46"/>
    </row>
    <row r="84" spans="1:12" hidden="1" x14ac:dyDescent="0.3">
      <c r="A84" s="134"/>
      <c r="B84" s="82"/>
      <c r="C84" s="82"/>
      <c r="D84" s="82"/>
      <c r="E84" s="113"/>
      <c r="F84" s="113"/>
      <c r="G84" s="114"/>
      <c r="H84" s="82"/>
      <c r="I84" s="83"/>
      <c r="L84" s="46"/>
    </row>
    <row r="85" spans="1:12" hidden="1" x14ac:dyDescent="0.3">
      <c r="A85" s="134"/>
      <c r="B85" s="82"/>
      <c r="C85" s="82"/>
      <c r="D85" s="82"/>
      <c r="E85" s="82"/>
      <c r="F85" s="82"/>
      <c r="G85" s="82"/>
      <c r="H85" s="82"/>
      <c r="I85" s="82"/>
      <c r="L85" s="46"/>
    </row>
    <row r="86" spans="1:12" hidden="1" x14ac:dyDescent="0.3">
      <c r="A86" s="134"/>
      <c r="B86" s="82"/>
      <c r="C86" s="82"/>
      <c r="D86" s="82"/>
      <c r="E86" s="82"/>
      <c r="F86" s="82"/>
      <c r="G86" s="82"/>
      <c r="H86" s="82"/>
      <c r="I86" s="82"/>
      <c r="L86" s="46"/>
    </row>
    <row r="87" spans="1:12" hidden="1" x14ac:dyDescent="0.3">
      <c r="A87" s="134"/>
      <c r="B87" s="82"/>
      <c r="C87" s="82"/>
      <c r="D87" s="82"/>
      <c r="E87" s="82"/>
      <c r="F87" s="82"/>
      <c r="G87" s="82"/>
      <c r="H87" s="82"/>
      <c r="I87" s="84"/>
      <c r="L87" s="46"/>
    </row>
    <row r="88" spans="1:12" hidden="1" x14ac:dyDescent="0.3">
      <c r="A88" s="134"/>
      <c r="B88" s="82"/>
      <c r="C88" s="82"/>
      <c r="D88" s="82"/>
      <c r="E88" s="82"/>
      <c r="F88" s="82"/>
      <c r="G88" s="82"/>
      <c r="H88" s="82"/>
      <c r="I88" s="82"/>
      <c r="L88" s="46"/>
    </row>
    <row r="89" spans="1:12" hidden="1" x14ac:dyDescent="0.3">
      <c r="A89" s="134"/>
      <c r="B89" s="82"/>
      <c r="C89" s="82"/>
      <c r="D89" s="82"/>
      <c r="E89" s="82"/>
      <c r="F89" s="82"/>
      <c r="G89" s="82"/>
      <c r="H89" s="82"/>
      <c r="I89" s="82"/>
      <c r="L89" s="46"/>
    </row>
    <row r="90" spans="1:12" hidden="1" x14ac:dyDescent="0.3">
      <c r="A90" s="134"/>
      <c r="I90" s="45"/>
      <c r="L90" s="46"/>
    </row>
    <row r="91" spans="1:12" hidden="1" x14ac:dyDescent="0.3">
      <c r="A91" s="134"/>
      <c r="B91" s="82"/>
      <c r="C91" s="82"/>
      <c r="D91" s="82"/>
      <c r="E91" s="82"/>
      <c r="F91" s="82"/>
      <c r="G91" s="82"/>
      <c r="H91" s="82"/>
      <c r="I91" s="82"/>
      <c r="L91" s="46"/>
    </row>
    <row r="92" spans="1:12" hidden="1" x14ac:dyDescent="0.3">
      <c r="A92" s="134"/>
      <c r="B92" s="82"/>
      <c r="C92" s="82"/>
      <c r="D92" s="82"/>
      <c r="E92" s="82"/>
      <c r="F92" s="82"/>
      <c r="G92" s="82"/>
      <c r="H92" s="82"/>
      <c r="I92" s="82"/>
      <c r="L92" s="46"/>
    </row>
    <row r="93" spans="1:12" hidden="1" x14ac:dyDescent="0.3">
      <c r="A93" s="134"/>
      <c r="B93" s="82"/>
      <c r="C93" s="82"/>
      <c r="D93" s="82"/>
      <c r="E93" s="82"/>
      <c r="F93" s="82"/>
      <c r="G93" s="82"/>
      <c r="H93" s="82"/>
      <c r="I93" s="82"/>
      <c r="L93" s="46"/>
    </row>
    <row r="94" spans="1:12" hidden="1" x14ac:dyDescent="0.3">
      <c r="A94" s="134"/>
      <c r="B94" s="82"/>
      <c r="C94" s="82"/>
      <c r="D94" s="82"/>
      <c r="E94" s="82"/>
      <c r="F94" s="82"/>
      <c r="G94" s="82"/>
      <c r="H94" s="82"/>
      <c r="I94" s="82"/>
      <c r="L94" s="46"/>
    </row>
    <row r="95" spans="1:12" hidden="1" x14ac:dyDescent="0.3">
      <c r="A95" s="134"/>
      <c r="B95" s="82"/>
      <c r="C95" s="82"/>
      <c r="D95" s="82"/>
      <c r="E95" s="82"/>
      <c r="F95" s="82"/>
      <c r="G95" s="82"/>
      <c r="H95" s="82"/>
      <c r="I95" s="82"/>
      <c r="L95" s="46"/>
    </row>
    <row r="96" spans="1:12" hidden="1" x14ac:dyDescent="0.3">
      <c r="A96" s="134"/>
      <c r="B96" s="82"/>
      <c r="C96" s="82"/>
      <c r="D96" s="82"/>
      <c r="E96" s="82"/>
      <c r="F96" s="82"/>
      <c r="G96" s="82"/>
      <c r="H96" s="82"/>
      <c r="I96" s="82"/>
      <c r="L96" s="46"/>
    </row>
    <row r="97" spans="1:12" hidden="1" x14ac:dyDescent="0.3">
      <c r="A97" s="134"/>
      <c r="B97" s="82"/>
      <c r="C97" s="82"/>
      <c r="D97" s="82"/>
      <c r="E97" s="113"/>
      <c r="F97" s="113"/>
      <c r="G97" s="114"/>
      <c r="H97" s="114"/>
      <c r="I97" s="83"/>
      <c r="L97" s="46"/>
    </row>
    <row r="98" spans="1:12" hidden="1" x14ac:dyDescent="0.3">
      <c r="A98" s="134"/>
      <c r="B98" s="82"/>
      <c r="C98" s="82"/>
      <c r="D98" s="82"/>
      <c r="E98" s="82"/>
      <c r="F98" s="82"/>
      <c r="G98" s="82"/>
      <c r="H98" s="82"/>
      <c r="I98" s="82"/>
      <c r="L98" s="46"/>
    </row>
    <row r="99" spans="1:12" hidden="1" x14ac:dyDescent="0.3">
      <c r="A99" s="134"/>
      <c r="B99" s="82"/>
      <c r="C99" s="82"/>
      <c r="D99" s="82"/>
      <c r="E99" s="82"/>
      <c r="F99" s="82"/>
      <c r="G99" s="82"/>
      <c r="H99" s="82"/>
      <c r="I99" s="82"/>
      <c r="L99" s="46"/>
    </row>
    <row r="100" spans="1:12" hidden="1" x14ac:dyDescent="0.3">
      <c r="A100" s="134"/>
      <c r="B100" s="82"/>
      <c r="C100" s="82"/>
      <c r="D100" s="82"/>
      <c r="E100" s="82"/>
      <c r="F100" s="82"/>
      <c r="G100" s="82"/>
      <c r="H100" s="82"/>
      <c r="I100" s="82"/>
      <c r="L100" s="46"/>
    </row>
    <row r="101" spans="1:12" hidden="1" x14ac:dyDescent="0.3">
      <c r="A101" s="134"/>
      <c r="I101" s="45"/>
      <c r="L101" s="46"/>
    </row>
    <row r="102" spans="1:12" hidden="1" x14ac:dyDescent="0.3">
      <c r="A102" s="134"/>
      <c r="B102" s="82"/>
      <c r="C102" s="82"/>
      <c r="D102" s="82"/>
      <c r="E102" s="82"/>
      <c r="F102" s="82"/>
      <c r="G102" s="82"/>
      <c r="H102" s="82"/>
      <c r="I102" s="82"/>
      <c r="L102" s="46"/>
    </row>
    <row r="103" spans="1:12" hidden="1" x14ac:dyDescent="0.3">
      <c r="A103" s="134"/>
      <c r="B103" s="82"/>
      <c r="C103" s="82"/>
      <c r="D103" s="82"/>
      <c r="E103" s="82"/>
      <c r="F103" s="82"/>
      <c r="G103" s="82"/>
      <c r="H103" s="82"/>
      <c r="I103" s="82"/>
      <c r="L103" s="46"/>
    </row>
    <row r="104" spans="1:12" hidden="1" x14ac:dyDescent="0.3">
      <c r="A104" s="134"/>
      <c r="B104" s="82"/>
      <c r="C104" s="82"/>
      <c r="D104" s="82"/>
      <c r="E104" s="82"/>
      <c r="F104" s="82"/>
      <c r="G104" s="82"/>
      <c r="H104" s="82"/>
      <c r="I104" s="82"/>
      <c r="L104" s="46"/>
    </row>
    <row r="105" spans="1:12" hidden="1" x14ac:dyDescent="0.3">
      <c r="A105" s="134"/>
      <c r="B105" s="82"/>
      <c r="C105" s="82"/>
      <c r="D105" s="82"/>
      <c r="E105" s="82"/>
      <c r="F105" s="82"/>
      <c r="G105" s="82"/>
      <c r="H105" s="82"/>
      <c r="I105" s="82"/>
      <c r="L105" s="46"/>
    </row>
    <row r="106" spans="1:12" hidden="1" x14ac:dyDescent="0.3">
      <c r="A106" s="134"/>
      <c r="B106" s="82"/>
      <c r="C106" s="82"/>
      <c r="D106" s="82"/>
      <c r="E106" s="82"/>
      <c r="F106" s="82"/>
      <c r="G106" s="82"/>
      <c r="H106" s="82"/>
      <c r="I106" s="84"/>
      <c r="L106" s="46"/>
    </row>
    <row r="107" spans="1:12" hidden="1" x14ac:dyDescent="0.3">
      <c r="A107" s="134"/>
      <c r="B107" s="82"/>
      <c r="C107" s="82"/>
      <c r="D107" s="82"/>
      <c r="E107" s="82"/>
      <c r="F107" s="82"/>
      <c r="G107" s="82"/>
      <c r="H107" s="82"/>
      <c r="I107" s="84"/>
      <c r="L107" s="46"/>
    </row>
    <row r="108" spans="1:12" hidden="1" x14ac:dyDescent="0.3">
      <c r="A108" s="134"/>
      <c r="B108" s="82"/>
      <c r="C108" s="82"/>
      <c r="D108" s="82"/>
      <c r="E108" s="82"/>
      <c r="F108" s="82"/>
      <c r="G108" s="82"/>
      <c r="H108" s="82"/>
      <c r="I108" s="82"/>
      <c r="L108" s="46"/>
    </row>
    <row r="109" spans="1:12" hidden="1" x14ac:dyDescent="0.3">
      <c r="A109" s="134"/>
      <c r="H109" s="82"/>
      <c r="I109" s="45"/>
      <c r="L109" s="46"/>
    </row>
    <row r="110" spans="1:12" hidden="1" x14ac:dyDescent="0.3">
      <c r="A110" s="134"/>
      <c r="B110" s="82"/>
      <c r="C110" s="82"/>
      <c r="D110" s="82"/>
      <c r="E110" s="82"/>
      <c r="F110" s="82"/>
      <c r="G110" s="82"/>
      <c r="H110" s="82"/>
      <c r="I110" s="82"/>
      <c r="L110" s="46"/>
    </row>
    <row r="111" spans="1:12" hidden="1" x14ac:dyDescent="0.3">
      <c r="A111" s="134"/>
      <c r="B111" s="82"/>
      <c r="C111" s="82"/>
      <c r="D111" s="82"/>
      <c r="E111" s="82"/>
      <c r="F111" s="82"/>
      <c r="G111" s="82"/>
      <c r="H111" s="82"/>
      <c r="I111" s="82"/>
      <c r="L111" s="46"/>
    </row>
    <row r="112" spans="1:12" hidden="1" x14ac:dyDescent="0.3">
      <c r="A112" s="134"/>
      <c r="B112" s="82"/>
      <c r="C112" s="82"/>
      <c r="D112" s="82"/>
      <c r="E112" s="82"/>
      <c r="F112" s="82"/>
      <c r="G112" s="82"/>
      <c r="H112" s="82"/>
      <c r="I112" s="82"/>
      <c r="L112" s="46"/>
    </row>
    <row r="113" spans="1:12" hidden="1" x14ac:dyDescent="0.3">
      <c r="A113" s="134"/>
      <c r="B113" s="82"/>
      <c r="C113" s="82"/>
      <c r="D113" s="82"/>
      <c r="E113" s="82"/>
      <c r="F113" s="82"/>
      <c r="G113" s="82"/>
      <c r="H113" s="82"/>
      <c r="I113" s="82"/>
      <c r="L113" s="46"/>
    </row>
    <row r="114" spans="1:12" hidden="1" x14ac:dyDescent="0.3">
      <c r="A114" s="134"/>
      <c r="B114" s="82"/>
      <c r="C114" s="82"/>
      <c r="D114" s="82"/>
      <c r="E114" s="82"/>
      <c r="F114" s="82"/>
      <c r="G114" s="82"/>
      <c r="H114" s="82"/>
      <c r="I114" s="82"/>
      <c r="L114" s="46"/>
    </row>
    <row r="115" spans="1:12" hidden="1" x14ac:dyDescent="0.3">
      <c r="A115" s="134"/>
      <c r="I115" s="45"/>
      <c r="L115" s="46"/>
    </row>
    <row r="116" spans="1:12" hidden="1" x14ac:dyDescent="0.3">
      <c r="A116" s="134"/>
      <c r="B116" s="82"/>
      <c r="C116" s="82"/>
      <c r="D116" s="82"/>
      <c r="E116" s="82"/>
      <c r="F116" s="82"/>
      <c r="G116" s="82"/>
      <c r="H116" s="82"/>
      <c r="I116" s="84"/>
      <c r="L116" s="46"/>
    </row>
    <row r="117" spans="1:12" hidden="1" x14ac:dyDescent="0.3">
      <c r="A117" s="134"/>
      <c r="I117" s="45"/>
      <c r="L117" s="46"/>
    </row>
    <row r="118" spans="1:12" hidden="1" x14ac:dyDescent="0.3">
      <c r="A118" s="134"/>
      <c r="B118" s="82"/>
      <c r="C118" s="82"/>
      <c r="D118" s="82"/>
      <c r="E118" s="82"/>
      <c r="F118" s="82"/>
      <c r="G118" s="82"/>
      <c r="H118" s="82"/>
      <c r="I118" s="84"/>
      <c r="L118" s="46"/>
    </row>
    <row r="119" spans="1:12" hidden="1" x14ac:dyDescent="0.3">
      <c r="A119" s="134"/>
      <c r="B119" s="82"/>
      <c r="C119" s="82"/>
      <c r="D119" s="82"/>
      <c r="E119" s="82"/>
      <c r="F119" s="82"/>
      <c r="G119" s="82"/>
      <c r="H119" s="82"/>
      <c r="I119" s="84"/>
      <c r="L119" s="46"/>
    </row>
    <row r="120" spans="1:12" hidden="1" x14ac:dyDescent="0.3">
      <c r="A120" s="134"/>
      <c r="B120" s="82"/>
      <c r="C120" s="82"/>
      <c r="D120" s="82"/>
      <c r="E120" s="82"/>
      <c r="F120" s="82"/>
      <c r="G120" s="82"/>
      <c r="H120" s="82"/>
      <c r="I120" s="84"/>
      <c r="L120" s="46"/>
    </row>
    <row r="121" spans="1:12" hidden="1" x14ac:dyDescent="0.3">
      <c r="A121" s="134"/>
      <c r="B121" s="82"/>
      <c r="C121" s="82"/>
      <c r="D121" s="82"/>
      <c r="E121" s="82"/>
      <c r="F121" s="82"/>
      <c r="G121" s="82"/>
      <c r="H121" s="82"/>
      <c r="I121" s="84"/>
      <c r="L121" s="46"/>
    </row>
    <row r="122" spans="1:12" hidden="1" x14ac:dyDescent="0.3">
      <c r="A122" s="134"/>
      <c r="B122" s="82"/>
      <c r="C122" s="82"/>
      <c r="D122" s="82"/>
      <c r="E122" s="82"/>
      <c r="F122" s="82"/>
      <c r="G122" s="82"/>
      <c r="H122" s="82"/>
      <c r="I122" s="84"/>
      <c r="L122" s="46"/>
    </row>
    <row r="123" spans="1:12" hidden="1" x14ac:dyDescent="0.3">
      <c r="A123" s="134"/>
      <c r="B123" s="82"/>
      <c r="C123" s="82"/>
      <c r="D123" s="82"/>
      <c r="E123" s="82"/>
      <c r="F123" s="82"/>
      <c r="G123" s="82"/>
      <c r="H123" s="82"/>
      <c r="I123" s="84"/>
      <c r="L123" s="46"/>
    </row>
    <row r="124" spans="1:12" hidden="1" x14ac:dyDescent="0.3">
      <c r="A124" s="134"/>
      <c r="B124" s="82"/>
      <c r="C124" s="82"/>
      <c r="D124" s="82"/>
      <c r="E124" s="82"/>
      <c r="F124" s="82"/>
      <c r="G124" s="82"/>
      <c r="H124" s="82"/>
      <c r="I124" s="84"/>
      <c r="L124" s="46"/>
    </row>
    <row r="125" spans="1:12" hidden="1" x14ac:dyDescent="0.3">
      <c r="A125" s="134"/>
      <c r="B125" s="82"/>
      <c r="C125" s="82"/>
      <c r="D125" s="82"/>
      <c r="E125" s="113"/>
      <c r="F125" s="82"/>
      <c r="G125" s="82"/>
      <c r="H125" s="82"/>
      <c r="I125" s="84"/>
      <c r="L125" s="46"/>
    </row>
    <row r="126" spans="1:12" hidden="1" x14ac:dyDescent="0.3">
      <c r="A126" s="134"/>
      <c r="H126" s="82"/>
      <c r="I126" s="45"/>
      <c r="L126" s="46"/>
    </row>
    <row r="127" spans="1:12" hidden="1" x14ac:dyDescent="0.3">
      <c r="A127" s="134"/>
      <c r="B127" s="82"/>
      <c r="C127" s="82"/>
      <c r="D127" s="82"/>
      <c r="E127" s="82"/>
      <c r="F127" s="82"/>
      <c r="G127" s="82"/>
      <c r="H127" s="82"/>
      <c r="I127" s="84"/>
      <c r="L127" s="46"/>
    </row>
    <row r="128" spans="1:12" hidden="1" x14ac:dyDescent="0.3">
      <c r="A128" s="134"/>
      <c r="B128" s="82"/>
      <c r="C128" s="82"/>
      <c r="D128" s="82"/>
      <c r="E128" s="82"/>
      <c r="F128" s="82"/>
      <c r="G128" s="82"/>
      <c r="H128" s="82"/>
      <c r="I128" s="84"/>
      <c r="L128" s="46"/>
    </row>
    <row r="129" spans="1:12" hidden="1" x14ac:dyDescent="0.3">
      <c r="A129" s="134"/>
      <c r="H129" s="82"/>
      <c r="L129" s="61"/>
    </row>
    <row r="130" spans="1:12" hidden="1" x14ac:dyDescent="0.3">
      <c r="A130" s="134"/>
      <c r="B130" s="82"/>
      <c r="C130" s="82"/>
      <c r="D130" s="82"/>
      <c r="E130" s="82"/>
      <c r="F130" s="82"/>
      <c r="G130" s="82"/>
      <c r="H130" s="82"/>
      <c r="I130" s="84"/>
      <c r="L130" s="46"/>
    </row>
    <row r="131" spans="1:12" hidden="1" x14ac:dyDescent="0.3">
      <c r="A131" s="134"/>
      <c r="B131" s="82"/>
      <c r="C131" s="82"/>
      <c r="D131" s="82"/>
      <c r="E131" s="82"/>
      <c r="F131" s="82"/>
      <c r="G131" s="82"/>
      <c r="H131" s="82"/>
      <c r="I131" s="84"/>
      <c r="L131" s="46"/>
    </row>
    <row r="132" spans="1:12" hidden="1" x14ac:dyDescent="0.3">
      <c r="A132" s="134"/>
      <c r="B132" s="82"/>
      <c r="C132" s="82"/>
      <c r="D132" s="82"/>
      <c r="E132" s="82"/>
      <c r="F132" s="82"/>
      <c r="G132" s="82"/>
      <c r="H132" s="82"/>
      <c r="I132" s="84"/>
      <c r="L132" s="46"/>
    </row>
    <row r="133" spans="1:12" hidden="1" x14ac:dyDescent="0.3">
      <c r="A133" s="134"/>
      <c r="H133" s="82"/>
      <c r="I133" s="45"/>
      <c r="L133" s="46"/>
    </row>
    <row r="134" spans="1:12" hidden="1" x14ac:dyDescent="0.3">
      <c r="A134" s="134"/>
      <c r="H134" s="82"/>
      <c r="I134" s="45"/>
      <c r="L134" s="46"/>
    </row>
    <row r="135" spans="1:12" hidden="1" x14ac:dyDescent="0.3">
      <c r="A135" s="134"/>
      <c r="B135" s="82"/>
      <c r="C135" s="82"/>
      <c r="D135" s="82"/>
      <c r="E135" s="82"/>
      <c r="F135" s="82"/>
      <c r="G135" s="82"/>
      <c r="H135" s="82"/>
      <c r="I135" s="84"/>
      <c r="L135" s="46"/>
    </row>
    <row r="136" spans="1:12" hidden="1" x14ac:dyDescent="0.3">
      <c r="A136" s="134"/>
      <c r="I136" s="45"/>
      <c r="L136" s="46"/>
    </row>
    <row r="137" spans="1:12" hidden="1" x14ac:dyDescent="0.3">
      <c r="A137" s="134"/>
      <c r="I137" s="45"/>
      <c r="L137" s="46"/>
    </row>
    <row r="138" spans="1:12" hidden="1" x14ac:dyDescent="0.3">
      <c r="A138" s="134"/>
      <c r="B138" s="82"/>
      <c r="C138" s="82"/>
      <c r="D138" s="82"/>
      <c r="E138" s="82"/>
      <c r="F138" s="82"/>
      <c r="G138" s="82"/>
      <c r="H138" s="82"/>
      <c r="I138" s="84"/>
      <c r="L138" s="46"/>
    </row>
    <row r="139" spans="1:12" hidden="1" x14ac:dyDescent="0.3">
      <c r="H139" s="82"/>
      <c r="I139" s="45"/>
      <c r="L139" s="46"/>
    </row>
    <row r="140" spans="1:12" hidden="1" x14ac:dyDescent="0.3">
      <c r="A140" s="82"/>
      <c r="B140" s="82"/>
      <c r="C140" s="82"/>
      <c r="D140" s="82"/>
      <c r="E140" s="82"/>
      <c r="F140" s="82"/>
      <c r="G140" s="82"/>
      <c r="H140" s="82"/>
      <c r="I140" s="82"/>
      <c r="L140" s="46"/>
    </row>
    <row r="141" spans="1:12" hidden="1" x14ac:dyDescent="0.3">
      <c r="E141" s="111"/>
      <c r="F141" s="111"/>
      <c r="G141" s="112"/>
      <c r="H141" s="82"/>
      <c r="I141" s="45"/>
      <c r="L141" s="46"/>
    </row>
    <row r="142" spans="1:12" hidden="1" x14ac:dyDescent="0.3">
      <c r="J142" t="e">
        <f ca="1">IF(MID(I142,8,1)="0","Lady",IF(Table1[[#This Row],[Age]]&gt;69,"GS",IF(Table1[[#This Row],[Age]]&gt;59,"SS",IF(Table1[[#This Row],[Age]]&gt;49,"S",IF(Table1[[#This Row],[Age]]&lt;17,"S Jnr",IF(Table1[[#This Row],[Age]]&lt;22,"Jnr"," "))))))</f>
        <v>#VALUE!</v>
      </c>
      <c r="K142" s="47" t="str">
        <f t="shared" ref="K142:K148" ca="1" si="5" xml:space="preserve"> IFERROR(DATE(LEFT(I142,2)+IF(LEFT(I142,2)&lt;RIGHT(YEAR(TODAY()),2),2000,1900),MID(I142,3,2),MID(I142,5,2)),"")</f>
        <v/>
      </c>
      <c r="L142" s="61" t="e">
        <f ca="1">DATEDIF(Table1[[#This Row],[Date of birth]],TODAY(),"Y")</f>
        <v>#VALUE!</v>
      </c>
    </row>
    <row r="143" spans="1:12" hidden="1" x14ac:dyDescent="0.3">
      <c r="J143" t="e">
        <f ca="1">IF(MID(I143,8,1)="0","Lady",IF(Table1[[#This Row],[Age]]&gt;60,"SS",IF(Table1[[#This Row],[Age]]&gt;50,"S",IF(Table1[[#This Row],[Age]]&lt;21,"Jnr"," "))))</f>
        <v>#VALUE!</v>
      </c>
      <c r="K143" s="47" t="str">
        <f t="shared" ca="1" si="5"/>
        <v/>
      </c>
      <c r="L143" s="61" t="e">
        <f ca="1">DATEDIF(Table1[[#This Row],[Date of birth]],TODAY(),"Y")</f>
        <v>#VALUE!</v>
      </c>
    </row>
    <row r="144" spans="1:12" hidden="1" x14ac:dyDescent="0.3">
      <c r="J144" t="e">
        <f ca="1">IF(MID(I144,8,1)="0","Lady",IF(Table1[[#This Row],[Age]]&gt;60,"SS",IF(Table1[[#This Row],[Age]]&gt;50,"S",IF(Table1[[#This Row],[Age]]&lt;21,"Jnr"," "))))</f>
        <v>#VALUE!</v>
      </c>
      <c r="K144" s="47" t="str">
        <f t="shared" ca="1" si="5"/>
        <v/>
      </c>
      <c r="L144" s="61" t="e">
        <f ca="1">DATEDIF(Table1[[#This Row],[Date of birth]],TODAY(),"Y")</f>
        <v>#VALUE!</v>
      </c>
    </row>
    <row r="145" spans="10:12" hidden="1" x14ac:dyDescent="0.3">
      <c r="J145" t="e">
        <f ca="1">IF(MID(I145,8,1)="0","Lady",IF(Table1[[#This Row],[Age]]&gt;60,"SS",IF(Table1[[#This Row],[Age]]&gt;50,"S",IF(Table1[[#This Row],[Age]]&lt;21,"Jnr"," "))))</f>
        <v>#VALUE!</v>
      </c>
      <c r="K145" s="47" t="str">
        <f t="shared" ca="1" si="5"/>
        <v/>
      </c>
      <c r="L145" s="61" t="e">
        <f ca="1">DATEDIF(Table1[[#This Row],[Date of birth]],TODAY(),"Y")</f>
        <v>#VALUE!</v>
      </c>
    </row>
    <row r="146" spans="10:12" hidden="1" x14ac:dyDescent="0.3">
      <c r="J146" t="e">
        <f ca="1">IF(MID(I146,8,1)="0","Lady",IF(Table1[[#This Row],[Age]]&gt;60,"SS",IF(Table1[[#This Row],[Age]]&gt;50,"S",IF(Table1[[#This Row],[Age]]&lt;21,"Jnr"," "))))</f>
        <v>#VALUE!</v>
      </c>
      <c r="K146" s="47" t="str">
        <f t="shared" ca="1" si="5"/>
        <v/>
      </c>
      <c r="L146" s="61" t="e">
        <f ca="1">DATEDIF(Table1[[#This Row],[Date of birth]],TODAY(),"Y")</f>
        <v>#VALUE!</v>
      </c>
    </row>
    <row r="147" spans="10:12" hidden="1" x14ac:dyDescent="0.3">
      <c r="J147" t="e">
        <f ca="1">IF(MID(I147,8,1)="0","Lady",IF(Table1[[#This Row],[Age]]&gt;60,"SS",IF(Table1[[#This Row],[Age]]&gt;50,"S",IF(Table1[[#This Row],[Age]]&lt;21,"Jnr"," "))))</f>
        <v>#VALUE!</v>
      </c>
      <c r="K147" s="47" t="str">
        <f t="shared" ca="1" si="5"/>
        <v/>
      </c>
      <c r="L147" s="61" t="e">
        <f ca="1">DATEDIF(Table1[[#This Row],[Date of birth]],TODAY(),"Y")</f>
        <v>#VALUE!</v>
      </c>
    </row>
    <row r="148" spans="10:12" hidden="1" x14ac:dyDescent="0.3">
      <c r="J148" t="e">
        <f ca="1">IF(MID(I148,8,1)="0","Lady",IF(Table1[[#This Row],[Age]]&gt;60,"SS",IF(Table1[[#This Row],[Age]]&gt;50,"S",IF(Table1[[#This Row],[Age]]&lt;21,"Jnr"," "))))</f>
        <v>#VALUE!</v>
      </c>
      <c r="K148" s="47" t="str">
        <f t="shared" ca="1" si="5"/>
        <v/>
      </c>
      <c r="L148" s="61" t="e">
        <f ca="1">DATEDIF(Table1[[#This Row],[Date of birth]],TODAY(),"Y")</f>
        <v>#VALUE!</v>
      </c>
    </row>
  </sheetData>
  <phoneticPr fontId="8" type="noConversion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238F-48D5-4760-B2D2-6ED14B11C956}">
  <sheetPr codeName="Sheet9">
    <tabColor rgb="FF92D050"/>
  </sheetPr>
  <dimension ref="A1:AMJ125"/>
  <sheetViews>
    <sheetView zoomScale="80" zoomScaleNormal="80" workbookViewId="0">
      <pane xSplit="11" ySplit="1" topLeftCell="U33" activePane="bottomRight" state="frozen"/>
      <selection activeCell="D82" sqref="D82"/>
      <selection pane="topRight" activeCell="D82" sqref="D82"/>
      <selection pane="bottomLeft" activeCell="D82" sqref="D82"/>
      <selection pane="bottomRight" activeCell="Z51" sqref="Z51"/>
    </sheetView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8.109375" style="16" customWidth="1"/>
    <col min="7" max="7" width="6.109375" style="16" customWidth="1"/>
    <col min="8" max="8" width="6.44140625" style="16" hidden="1" customWidth="1"/>
    <col min="9" max="9" width="9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15" si="0">RANK(K2,K$2:K$136,0)</f>
        <v>1</v>
      </c>
      <c r="B2" s="18">
        <v>5304</v>
      </c>
      <c r="C2" s="100">
        <f>_xlfn.XLOOKUP(__xlnm._FilterDatabase_159[[#This Row],[SAPSA Number]],Table1[SAPSA number],Table1[Paid up])</f>
        <v>0</v>
      </c>
      <c r="D2" s="39" t="str">
        <f>_xlfn.XLOOKUP(__xlnm._FilterDatabase_159[[#This Row],[SAPSA Number]],Table1[SAPSA number],Table1[Name])</f>
        <v>Johan Gerard</v>
      </c>
      <c r="E2" s="39" t="str">
        <f>_xlfn.XLOOKUP(__xlnm._FilterDatabase_159[[#This Row],[SAPSA Number]],Table1[SAPSA number],Table1[Surname])</f>
        <v>Bultman</v>
      </c>
      <c r="F2" s="28" t="str">
        <f>_xlfn.XLOOKUP(__xlnm._FilterDatabase_159[[#This Row],[SAPSA Number]],Table1[SAPSA number],Table1[Initials])</f>
        <v>JG</v>
      </c>
      <c r="G2" s="17" t="str">
        <f ca="1">_xlfn.XLOOKUP(__xlnm._FilterDatabase_159[[#This Row],[SAPSA Number]],Table1[SAPSA number],Table1[Gender])</f>
        <v xml:space="preserve"> </v>
      </c>
      <c r="H2" s="19" t="e">
        <f>_xlfn.XLOOKUP(__xlnm._FilterDatabase_159[[#This Row],[SAPSA Number]],#REF!,#REF!)</f>
        <v>#REF!</v>
      </c>
      <c r="I2" s="19" t="s">
        <v>240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5</v>
      </c>
      <c r="K2" s="22">
        <f t="shared" ref="K2:K33" si="2">(LARGE(L2:U2,1)+LARGE(L2:U2,2)+LARGE(L2:U2,3)+LARGE(L2:U2,4)+LARGE(L2:U2,5))/5</f>
        <v>80</v>
      </c>
      <c r="L2" s="23">
        <v>0</v>
      </c>
      <c r="M2" s="24">
        <v>100</v>
      </c>
      <c r="N2" s="23">
        <v>0</v>
      </c>
      <c r="O2" s="24">
        <v>100</v>
      </c>
      <c r="P2" s="23">
        <v>0</v>
      </c>
      <c r="Q2" s="24">
        <v>0</v>
      </c>
      <c r="R2" s="23">
        <v>100</v>
      </c>
      <c r="S2" s="24">
        <v>100</v>
      </c>
      <c r="T2" s="23">
        <v>0</v>
      </c>
      <c r="U2" s="24">
        <v>0</v>
      </c>
      <c r="V2" s="23">
        <v>0</v>
      </c>
      <c r="W2" s="24">
        <v>100</v>
      </c>
    </row>
    <row r="3" spans="1:23" ht="14.4" customHeight="1" x14ac:dyDescent="0.3">
      <c r="A3" s="17">
        <f t="shared" si="0"/>
        <v>2</v>
      </c>
      <c r="B3" s="18">
        <v>2651</v>
      </c>
      <c r="C3" s="100" t="str">
        <f>_xlfn.XLOOKUP(__xlnm._FilterDatabase_159[[#This Row],[SAPSA Number]],Table1[SAPSA number],Table1[Paid up])</f>
        <v>Y</v>
      </c>
      <c r="D3" s="39" t="str">
        <f>_xlfn.XLOOKUP(__xlnm._FilterDatabase_159[[#This Row],[SAPSA Number]],Table1[SAPSA number],Table1[Name])</f>
        <v>Paul Herman</v>
      </c>
      <c r="E3" s="39" t="str">
        <f>_xlfn.XLOOKUP(__xlnm._FilterDatabase_159[[#This Row],[SAPSA Number]],Table1[SAPSA number],Table1[Surname])</f>
        <v>Leuschner</v>
      </c>
      <c r="F3" s="28" t="str">
        <f>_xlfn.XLOOKUP(__xlnm._FilterDatabase_159[[#This Row],[SAPSA Number]],Table1[SAPSA number],Table1[Initials])</f>
        <v>PH</v>
      </c>
      <c r="G3" s="17" t="str">
        <f ca="1">_xlfn.XLOOKUP(__xlnm._FilterDatabase_159[[#This Row],[SAPSA Number]],Table1[SAPSA number],Table1[Gender])</f>
        <v>S</v>
      </c>
      <c r="H3" s="19" t="e">
        <f>_xlfn.XLOOKUP(__xlnm._FilterDatabase_159[[#This Row],[SAPSA Number]],#REF!,#REF!)</f>
        <v>#REF!</v>
      </c>
      <c r="I3" s="19" t="s">
        <v>240</v>
      </c>
      <c r="J3" s="21">
        <f t="shared" si="1"/>
        <v>6</v>
      </c>
      <c r="K3" s="22">
        <f t="shared" si="2"/>
        <v>69.48642000000001</v>
      </c>
      <c r="L3" s="23">
        <v>0</v>
      </c>
      <c r="M3" s="24">
        <v>0</v>
      </c>
      <c r="N3" s="23">
        <v>86.961600000000004</v>
      </c>
      <c r="O3" s="24">
        <v>0</v>
      </c>
      <c r="P3" s="23">
        <v>100</v>
      </c>
      <c r="Q3" s="24">
        <v>0</v>
      </c>
      <c r="R3" s="23">
        <v>0</v>
      </c>
      <c r="S3" s="24">
        <v>76.438100000000006</v>
      </c>
      <c r="T3" s="23">
        <v>0</v>
      </c>
      <c r="U3" s="24">
        <v>84.032399999999996</v>
      </c>
      <c r="V3" s="23">
        <v>81</v>
      </c>
      <c r="W3" s="24">
        <v>84.3</v>
      </c>
    </row>
    <row r="4" spans="1:23" ht="14.4" customHeight="1" x14ac:dyDescent="0.3">
      <c r="A4" s="17">
        <f t="shared" si="0"/>
        <v>3</v>
      </c>
      <c r="B4" s="25">
        <v>851</v>
      </c>
      <c r="C4" s="25" t="str">
        <f>_xlfn.XLOOKUP(__xlnm._FilterDatabase_159[[#This Row],[SAPSA Number]],Table1[SAPSA number],Table1[Paid up])</f>
        <v>Y</v>
      </c>
      <c r="D4" s="39" t="str">
        <f>_xlfn.XLOOKUP(__xlnm._FilterDatabase_159[[#This Row],[SAPSA Number]],Table1[SAPSA number],Table1[Name])</f>
        <v>Ian David</v>
      </c>
      <c r="E4" s="39" t="str">
        <f>_xlfn.XLOOKUP(__xlnm._FilterDatabase_159[[#This Row],[SAPSA Number]],Table1[SAPSA number],Table1[Surname])</f>
        <v>McLaren</v>
      </c>
      <c r="F4" s="28" t="str">
        <f>_xlfn.XLOOKUP(__xlnm._FilterDatabase_159[[#This Row],[SAPSA Number]],Table1[SAPSA number],Table1[Initials])</f>
        <v>ID</v>
      </c>
      <c r="G4" s="17" t="str">
        <f ca="1">_xlfn.XLOOKUP(__xlnm._FilterDatabase_159[[#This Row],[SAPSA Number]],Table1[SAPSA number],Table1[Gender])</f>
        <v>SS</v>
      </c>
      <c r="H4" s="19" t="e">
        <f>_xlfn.XLOOKUP(__xlnm._FilterDatabase_159[[#This Row],[SAPSA Number]],#REF!,#REF!)</f>
        <v>#REF!</v>
      </c>
      <c r="I4" s="19" t="s">
        <v>240</v>
      </c>
      <c r="J4" s="21">
        <f t="shared" si="1"/>
        <v>6</v>
      </c>
      <c r="K4" s="22">
        <f t="shared" si="2"/>
        <v>60.757939999999998</v>
      </c>
      <c r="L4" s="23">
        <v>100</v>
      </c>
      <c r="M4" s="24">
        <v>55.570900000000002</v>
      </c>
      <c r="N4" s="23">
        <v>16.4817</v>
      </c>
      <c r="O4" s="24">
        <v>73.582400000000007</v>
      </c>
      <c r="P4" s="23">
        <v>0</v>
      </c>
      <c r="Q4" s="24">
        <v>0</v>
      </c>
      <c r="R4" s="23">
        <v>0</v>
      </c>
      <c r="S4" s="24">
        <v>18.9785</v>
      </c>
      <c r="T4" s="23">
        <v>0</v>
      </c>
      <c r="U4" s="24">
        <v>55.657899999999998</v>
      </c>
      <c r="V4" s="23">
        <v>0</v>
      </c>
      <c r="W4" s="24">
        <v>0</v>
      </c>
    </row>
    <row r="5" spans="1:23" ht="14.4" customHeight="1" x14ac:dyDescent="0.3">
      <c r="A5" s="17">
        <f t="shared" si="0"/>
        <v>4</v>
      </c>
      <c r="B5" s="25">
        <v>3349</v>
      </c>
      <c r="C5" s="25">
        <f>_xlfn.XLOOKUP(__xlnm._FilterDatabase_159[[#This Row],[SAPSA Number]],Table1[SAPSA number],Table1[Paid up])</f>
        <v>0</v>
      </c>
      <c r="D5" s="39" t="str">
        <f>_xlfn.XLOOKUP(__xlnm._FilterDatabase_159[[#This Row],[SAPSA Number]],Table1[SAPSA number],Table1[Name])</f>
        <v>Stefanus Christiaan</v>
      </c>
      <c r="E5" s="39" t="str">
        <f>_xlfn.XLOOKUP(__xlnm._FilterDatabase_159[[#This Row],[SAPSA Number]],Table1[SAPSA number],Table1[Surname])</f>
        <v>Bosch</v>
      </c>
      <c r="F5" s="28" t="str">
        <f>_xlfn.XLOOKUP(__xlnm._FilterDatabase_159[[#This Row],[SAPSA Number]],Table1[SAPSA number],Table1[Initials])</f>
        <v>SC</v>
      </c>
      <c r="G5" s="17" t="str">
        <f ca="1">_xlfn.XLOOKUP(__xlnm._FilterDatabase_159[[#This Row],[SAPSA Number]],Table1[SAPSA number],Table1[Gender])</f>
        <v>S</v>
      </c>
      <c r="H5" s="19" t="e">
        <f>_xlfn.XLOOKUP(__xlnm._FilterDatabase_159[[#This Row],[SAPSA Number]],#REF!,#REF!)</f>
        <v>#REF!</v>
      </c>
      <c r="I5" s="19" t="s">
        <v>240</v>
      </c>
      <c r="J5" s="21">
        <f t="shared" si="1"/>
        <v>4</v>
      </c>
      <c r="K5" s="22">
        <f t="shared" si="2"/>
        <v>50.66818</v>
      </c>
      <c r="L5" s="23">
        <v>0</v>
      </c>
      <c r="M5" s="24">
        <v>80.054000000000002</v>
      </c>
      <c r="N5" s="23">
        <v>100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73.286900000000003</v>
      </c>
      <c r="V5" s="23">
        <v>85</v>
      </c>
      <c r="W5" s="24">
        <v>0</v>
      </c>
    </row>
    <row r="6" spans="1:23" ht="14.4" customHeight="1" x14ac:dyDescent="0.3">
      <c r="A6" s="17">
        <f t="shared" si="0"/>
        <v>5</v>
      </c>
      <c r="B6" s="40">
        <v>4862</v>
      </c>
      <c r="C6" s="25" t="str">
        <f>_xlfn.XLOOKUP(__xlnm._FilterDatabase_159[[#This Row],[SAPSA Number]],Table1[SAPSA number],Table1[Paid up])</f>
        <v>Y</v>
      </c>
      <c r="D6" s="39" t="str">
        <f>_xlfn.XLOOKUP(__xlnm._FilterDatabase_159[[#This Row],[SAPSA Number]],Table1[SAPSA number],Table1[Name])</f>
        <v>George Keith</v>
      </c>
      <c r="E6" s="39" t="str">
        <f>_xlfn.XLOOKUP(__xlnm._FilterDatabase_159[[#This Row],[SAPSA Number]],Table1[SAPSA number],Table1[Surname])</f>
        <v>Marais</v>
      </c>
      <c r="F6" s="28" t="str">
        <f>_xlfn.XLOOKUP(__xlnm._FilterDatabase_159[[#This Row],[SAPSA Number]],Table1[SAPSA number],Table1[Initials])</f>
        <v>GK</v>
      </c>
      <c r="G6" s="17" t="str">
        <f ca="1">_xlfn.XLOOKUP(__xlnm._FilterDatabase_159[[#This Row],[SAPSA Number]],Table1[SAPSA number],Table1[Gender])</f>
        <v>S</v>
      </c>
      <c r="H6" s="19" t="e">
        <f>_xlfn.XLOOKUP(__xlnm._FilterDatabase_159[[#This Row],[SAPSA Number]],#REF!,#REF!)</f>
        <v>#REF!</v>
      </c>
      <c r="I6" s="19" t="s">
        <v>240</v>
      </c>
      <c r="J6" s="21">
        <f t="shared" si="1"/>
        <v>3</v>
      </c>
      <c r="K6" s="22">
        <f t="shared" si="2"/>
        <v>49.256659999999997</v>
      </c>
      <c r="L6" s="23">
        <v>98.053299999999993</v>
      </c>
      <c r="M6" s="24">
        <v>86.74</v>
      </c>
      <c r="N6" s="23">
        <v>0</v>
      </c>
      <c r="O6" s="24">
        <v>0</v>
      </c>
      <c r="P6" s="23">
        <v>0</v>
      </c>
      <c r="Q6" s="24">
        <v>0</v>
      </c>
      <c r="R6" s="23">
        <v>61.49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 t="shared" si="0"/>
        <v>6</v>
      </c>
      <c r="B7" s="25">
        <v>250</v>
      </c>
      <c r="C7" s="25">
        <f>_xlfn.XLOOKUP(__xlnm._FilterDatabase_159[[#This Row],[SAPSA Number]],Table1[SAPSA number],Table1[Paid up])</f>
        <v>0</v>
      </c>
      <c r="D7" s="39" t="str">
        <f>_xlfn.XLOOKUP(__xlnm._FilterDatabase_159[[#This Row],[SAPSA Number]],Table1[SAPSA number],Table1[Name])</f>
        <v>Adriano Walter</v>
      </c>
      <c r="E7" s="39" t="str">
        <f>_xlfn.XLOOKUP(__xlnm._FilterDatabase_159[[#This Row],[SAPSA Number]],Table1[SAPSA number],Table1[Surname])</f>
        <v>Paschini</v>
      </c>
      <c r="F7" s="28" t="str">
        <f>_xlfn.XLOOKUP(__xlnm._FilterDatabase_159[[#This Row],[SAPSA Number]],Table1[SAPSA number],Table1[Initials])</f>
        <v>AW</v>
      </c>
      <c r="G7" s="17" t="str">
        <f ca="1">_xlfn.XLOOKUP(__xlnm._FilterDatabase_159[[#This Row],[SAPSA Number]],Table1[SAPSA number],Table1[Gender])</f>
        <v>SS</v>
      </c>
      <c r="H7" s="19" t="e">
        <f>_xlfn.XLOOKUP(__xlnm._FilterDatabase_159[[#This Row],[SAPSA Number]],#REF!,#REF!)</f>
        <v>#REF!</v>
      </c>
      <c r="I7" s="19" t="s">
        <v>240</v>
      </c>
      <c r="J7" s="21">
        <f t="shared" si="1"/>
        <v>4</v>
      </c>
      <c r="K7" s="22">
        <f t="shared" si="2"/>
        <v>38.816319999999997</v>
      </c>
      <c r="L7" s="23">
        <v>0</v>
      </c>
      <c r="M7" s="24">
        <v>0</v>
      </c>
      <c r="N7" s="23">
        <v>87.745500000000007</v>
      </c>
      <c r="O7" s="24">
        <v>0</v>
      </c>
      <c r="P7" s="23">
        <v>0</v>
      </c>
      <c r="Q7" s="24">
        <v>0</v>
      </c>
      <c r="R7" s="23">
        <v>0</v>
      </c>
      <c r="S7" s="24">
        <v>45.8001</v>
      </c>
      <c r="T7" s="23">
        <v>0</v>
      </c>
      <c r="U7" s="24">
        <v>60.536000000000001</v>
      </c>
      <c r="V7" s="23">
        <v>75</v>
      </c>
      <c r="W7" s="24">
        <v>0</v>
      </c>
    </row>
    <row r="8" spans="1:23" ht="14.4" customHeight="1" x14ac:dyDescent="0.3">
      <c r="A8" s="17">
        <f t="shared" si="0"/>
        <v>7</v>
      </c>
      <c r="B8" s="25">
        <v>6633</v>
      </c>
      <c r="C8" s="25">
        <f>_xlfn.XLOOKUP(__xlnm._FilterDatabase_159[[#This Row],[SAPSA Number]],Table1[SAPSA number],Table1[Paid up])</f>
        <v>0</v>
      </c>
      <c r="D8" s="39" t="str">
        <f>_xlfn.XLOOKUP(__xlnm._FilterDatabase_159[[#This Row],[SAPSA Number]],Table1[SAPSA number],Table1[Name])</f>
        <v>Allessandro Raffaele</v>
      </c>
      <c r="E8" s="39" t="str">
        <f>_xlfn.XLOOKUP(__xlnm._FilterDatabase_159[[#This Row],[SAPSA Number]],Table1[SAPSA number],Table1[Surname])</f>
        <v>Paschini</v>
      </c>
      <c r="F8" s="28" t="str">
        <f>_xlfn.XLOOKUP(__xlnm._FilterDatabase_159[[#This Row],[SAPSA Number]],Table1[SAPSA number],Table1[Initials])</f>
        <v>AR</v>
      </c>
      <c r="G8" s="17" t="str">
        <f ca="1">_xlfn.XLOOKUP(__xlnm._FilterDatabase_159[[#This Row],[SAPSA Number]],Table1[SAPSA number],Table1[Gender])</f>
        <v xml:space="preserve"> </v>
      </c>
      <c r="H8" s="19" t="e">
        <f>_xlfn.XLOOKUP(__xlnm._FilterDatabase_159[[#This Row],[SAPSA Number]],#REF!,#REF!)</f>
        <v>#REF!</v>
      </c>
      <c r="I8" s="19" t="s">
        <v>240</v>
      </c>
      <c r="J8" s="21">
        <f t="shared" si="1"/>
        <v>2</v>
      </c>
      <c r="K8" s="22">
        <f t="shared" si="2"/>
        <v>35.470320000000001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77.351600000000005</v>
      </c>
      <c r="T8" s="23">
        <v>0</v>
      </c>
      <c r="U8" s="24">
        <v>100</v>
      </c>
      <c r="V8" s="23">
        <v>0</v>
      </c>
      <c r="W8" s="24">
        <v>0</v>
      </c>
    </row>
    <row r="9" spans="1:23" ht="14.4" customHeight="1" x14ac:dyDescent="0.3">
      <c r="A9" s="17">
        <f t="shared" si="0"/>
        <v>8</v>
      </c>
      <c r="B9" s="25">
        <v>3350</v>
      </c>
      <c r="C9" s="25">
        <f>_xlfn.XLOOKUP(__xlnm._FilterDatabase_159[[#This Row],[SAPSA Number]],Table1[SAPSA number],Table1[Paid up])</f>
        <v>0</v>
      </c>
      <c r="D9" s="39" t="str">
        <f>_xlfn.XLOOKUP(__xlnm._FilterDatabase_159[[#This Row],[SAPSA Number]],Table1[SAPSA number],Table1[Name])</f>
        <v>Conrad Ernest</v>
      </c>
      <c r="E9" s="39" t="str">
        <f>_xlfn.XLOOKUP(__xlnm._FilterDatabase_159[[#This Row],[SAPSA Number]],Table1[SAPSA number],Table1[Surname])</f>
        <v>Brandt</v>
      </c>
      <c r="F9" s="28" t="str">
        <f>_xlfn.XLOOKUP(__xlnm._FilterDatabase_159[[#This Row],[SAPSA Number]],Table1[SAPSA number],Table1[Initials])</f>
        <v>CE</v>
      </c>
      <c r="G9" s="17" t="str">
        <f ca="1">_xlfn.XLOOKUP(__xlnm._FilterDatabase_159[[#This Row],[SAPSA Number]],Table1[SAPSA number],Table1[Gender])</f>
        <v>S</v>
      </c>
      <c r="H9" s="19" t="e">
        <f>_xlfn.XLOOKUP(__xlnm._FilterDatabase_159[[#This Row],[SAPSA Number]],#REF!,#REF!)</f>
        <v>#REF!</v>
      </c>
      <c r="I9" s="19" t="s">
        <v>240</v>
      </c>
      <c r="J9" s="21">
        <f t="shared" si="1"/>
        <v>2</v>
      </c>
      <c r="K9" s="22">
        <f t="shared" si="2"/>
        <v>18.701419999999999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93.507099999999994</v>
      </c>
      <c r="V9" s="23">
        <v>100</v>
      </c>
      <c r="W9" s="24">
        <v>0</v>
      </c>
    </row>
    <row r="10" spans="1:23" ht="14.4" customHeight="1" x14ac:dyDescent="0.3">
      <c r="A10" s="17">
        <f t="shared" si="0"/>
        <v>9</v>
      </c>
      <c r="B10" s="25">
        <v>4966</v>
      </c>
      <c r="C10" s="25" t="str">
        <f>_xlfn.XLOOKUP(__xlnm._FilterDatabase_159[[#This Row],[SAPSA Number]],Table1[SAPSA number],Table1[Paid up])</f>
        <v>Y</v>
      </c>
      <c r="D10" s="39" t="str">
        <f>_xlfn.XLOOKUP(__xlnm._FilterDatabase_159[[#This Row],[SAPSA Number]],Table1[SAPSA number],Table1[Name])</f>
        <v>Costantinos</v>
      </c>
      <c r="E10" s="39" t="str">
        <f>_xlfn.XLOOKUP(__xlnm._FilterDatabase_159[[#This Row],[SAPSA Number]],Table1[SAPSA number],Table1[Surname])</f>
        <v>Seindis</v>
      </c>
      <c r="F10" s="28" t="str">
        <f>_xlfn.XLOOKUP(__xlnm._FilterDatabase_159[[#This Row],[SAPSA Number]],Table1[SAPSA number],Table1[Initials])</f>
        <v>C</v>
      </c>
      <c r="G10" s="17" t="str">
        <f ca="1">_xlfn.XLOOKUP(__xlnm._FilterDatabase_159[[#This Row],[SAPSA Number]],Table1[SAPSA number],Table1[Gender])</f>
        <v xml:space="preserve"> </v>
      </c>
      <c r="H10" s="19" t="e">
        <f>_xlfn.XLOOKUP(__xlnm._FilterDatabase_159[[#This Row],[SAPSA Number]],#REF!,#REF!)</f>
        <v>#REF!</v>
      </c>
      <c r="I10" s="19" t="s">
        <v>240</v>
      </c>
      <c r="J10" s="21">
        <f t="shared" si="1"/>
        <v>2</v>
      </c>
      <c r="K10" s="22">
        <f t="shared" si="2"/>
        <v>16.36326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81.816299999999998</v>
      </c>
      <c r="T10" s="23">
        <v>0</v>
      </c>
      <c r="U10" s="24">
        <v>0</v>
      </c>
      <c r="V10" s="23">
        <v>92</v>
      </c>
      <c r="W10" s="24">
        <v>0</v>
      </c>
    </row>
    <row r="11" spans="1:23" ht="14.4" customHeight="1" x14ac:dyDescent="0.3">
      <c r="A11" s="17">
        <f t="shared" si="0"/>
        <v>10</v>
      </c>
      <c r="B11" s="18">
        <v>1777</v>
      </c>
      <c r="C11" s="100" t="str">
        <f>_xlfn.XLOOKUP(__xlnm._FilterDatabase_159[[#This Row],[SAPSA Number]],Table1[SAPSA number],Table1[Paid up])</f>
        <v>Y</v>
      </c>
      <c r="D11" s="39" t="str">
        <f>_xlfn.XLOOKUP(__xlnm._FilterDatabase_159[[#This Row],[SAPSA Number]],Table1[SAPSA number],Table1[Name])</f>
        <v xml:space="preserve">Leon </v>
      </c>
      <c r="E11" s="39" t="str">
        <f>_xlfn.XLOOKUP(__xlnm._FilterDatabase_159[[#This Row],[SAPSA Number]],Table1[SAPSA number],Table1[Surname])</f>
        <v>Myburgh</v>
      </c>
      <c r="F11" s="28" t="str">
        <f>_xlfn.XLOOKUP(__xlnm._FilterDatabase_159[[#This Row],[SAPSA Number]],Table1[SAPSA number],Table1[Initials])</f>
        <v>LC</v>
      </c>
      <c r="G11" s="17" t="str">
        <f ca="1">_xlfn.XLOOKUP(__xlnm._FilterDatabase_159[[#This Row],[SAPSA Number]],Table1[SAPSA number],Table1[Gender])</f>
        <v>S</v>
      </c>
      <c r="H11" s="19" t="e">
        <f>_xlfn.XLOOKUP(__xlnm._FilterDatabase_159[[#This Row],[SAPSA Number]],#REF!,#REF!)</f>
        <v>#REF!</v>
      </c>
      <c r="I11" s="19" t="s">
        <v>240</v>
      </c>
      <c r="J11" s="21">
        <f t="shared" si="1"/>
        <v>1</v>
      </c>
      <c r="K11" s="22">
        <f t="shared" si="2"/>
        <v>15.263780000000001</v>
      </c>
      <c r="L11" s="23">
        <v>0</v>
      </c>
      <c r="M11" s="24">
        <v>76.318899999999999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0"/>
        <v>11</v>
      </c>
      <c r="B12" s="25">
        <v>5804</v>
      </c>
      <c r="C12" s="25" t="str">
        <f>_xlfn.XLOOKUP(__xlnm._FilterDatabase_159[[#This Row],[SAPSA Number]],Table1[SAPSA number],Table1[Paid up])</f>
        <v>Y</v>
      </c>
      <c r="D12" s="39" t="str">
        <f>_xlfn.XLOOKUP(__xlnm._FilterDatabase_159[[#This Row],[SAPSA Number]],Table1[SAPSA number],Table1[Name])</f>
        <v>Louis Johannes</v>
      </c>
      <c r="E12" s="39" t="str">
        <f>_xlfn.XLOOKUP(__xlnm._FilterDatabase_159[[#This Row],[SAPSA Number]],Table1[SAPSA number],Table1[Surname])</f>
        <v>Nel</v>
      </c>
      <c r="F12" s="28" t="str">
        <f>_xlfn.XLOOKUP(__xlnm._FilterDatabase_159[[#This Row],[SAPSA Number]],Table1[SAPSA number],Table1[Initials])</f>
        <v>LJ</v>
      </c>
      <c r="G12" s="17" t="str">
        <f ca="1">_xlfn.XLOOKUP(__xlnm._FilterDatabase_159[[#This Row],[SAPSA Number]],Table1[SAPSA number],Table1[Gender])</f>
        <v xml:space="preserve"> </v>
      </c>
      <c r="H12" s="19" t="e">
        <f>_xlfn.XLOOKUP(__xlnm._FilterDatabase_159[[#This Row],[SAPSA Number]],#REF!,#REF!)</f>
        <v>#REF!</v>
      </c>
      <c r="I12" s="19" t="s">
        <v>240</v>
      </c>
      <c r="J12" s="21">
        <f t="shared" si="1"/>
        <v>1</v>
      </c>
      <c r="K12" s="22">
        <f t="shared" si="2"/>
        <v>15.04344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75.217200000000005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0"/>
        <v>12</v>
      </c>
      <c r="B13" s="25">
        <v>1471</v>
      </c>
      <c r="C13" s="25" t="str">
        <f>_xlfn.XLOOKUP(__xlnm._FilterDatabase_159[[#This Row],[SAPSA Number]],Table1[SAPSA number],Table1[Paid up])</f>
        <v>Y</v>
      </c>
      <c r="D13" s="39" t="str">
        <f>_xlfn.XLOOKUP(__xlnm._FilterDatabase_159[[#This Row],[SAPSA Number]],Table1[SAPSA number],Table1[Name])</f>
        <v>Nikolaus Phillip Karl</v>
      </c>
      <c r="E13" s="39" t="str">
        <f>_xlfn.XLOOKUP(__xlnm._FilterDatabase_159[[#This Row],[SAPSA Number]],Table1[SAPSA number],Table1[Surname])</f>
        <v>Bernhard</v>
      </c>
      <c r="F13" s="28" t="str">
        <f>_xlfn.XLOOKUP(__xlnm._FilterDatabase_159[[#This Row],[SAPSA Number]],Table1[SAPSA number],Table1[Initials])</f>
        <v>NPK</v>
      </c>
      <c r="G13" s="17" t="str">
        <f ca="1">_xlfn.XLOOKUP(__xlnm._FilterDatabase_159[[#This Row],[SAPSA Number]],Table1[SAPSA number],Table1[Gender])</f>
        <v xml:space="preserve"> </v>
      </c>
      <c r="H13" s="19" t="e">
        <f>_xlfn.XLOOKUP(__xlnm._FilterDatabase_159[[#This Row],[SAPSA Number]],#REF!,#REF!)</f>
        <v>#REF!</v>
      </c>
      <c r="I13" s="19" t="s">
        <v>240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0"/>
        <v>12</v>
      </c>
      <c r="B14" s="25">
        <v>4624</v>
      </c>
      <c r="C14" s="25" t="str">
        <f>_xlfn.XLOOKUP(__xlnm._FilterDatabase_159[[#This Row],[SAPSA Number]],Table1[SAPSA number],Table1[Paid up])</f>
        <v>Y</v>
      </c>
      <c r="D14" s="39" t="str">
        <f>_xlfn.XLOOKUP(__xlnm._FilterDatabase_159[[#This Row],[SAPSA Number]],Table1[SAPSA number],Table1[Name])</f>
        <v>Stephanus Christiaan</v>
      </c>
      <c r="E14" s="39" t="str">
        <f>_xlfn.XLOOKUP(__xlnm._FilterDatabase_159[[#This Row],[SAPSA Number]],Table1[SAPSA number],Table1[Surname])</f>
        <v>Bester</v>
      </c>
      <c r="F14" s="28" t="str">
        <f>_xlfn.XLOOKUP(__xlnm._FilterDatabase_159[[#This Row],[SAPSA Number]],Table1[SAPSA number],Table1[Initials])</f>
        <v>SC</v>
      </c>
      <c r="G14" s="17" t="str">
        <f ca="1">_xlfn.XLOOKUP(__xlnm._FilterDatabase_159[[#This Row],[SAPSA Number]],Table1[SAPSA number],Table1[Gender])</f>
        <v>S</v>
      </c>
      <c r="H14" s="19" t="e">
        <f>_xlfn.XLOOKUP(__xlnm._FilterDatabase_159[[#This Row],[SAPSA Number]],#REF!,#REF!)</f>
        <v>#REF!</v>
      </c>
      <c r="I14" s="19" t="s">
        <v>240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0"/>
        <v>12</v>
      </c>
      <c r="B15" s="25">
        <v>7431</v>
      </c>
      <c r="C15" s="25">
        <f>_xlfn.XLOOKUP(__xlnm._FilterDatabase_159[[#This Row],[SAPSA Number]],Table1[SAPSA number],Table1[Paid up])</f>
        <v>0</v>
      </c>
      <c r="D15" s="39" t="str">
        <f>_xlfn.XLOOKUP(__xlnm._FilterDatabase_159[[#This Row],[SAPSA Number]],Table1[SAPSA number],Table1[Name])</f>
        <v>Anton</v>
      </c>
      <c r="E15" s="39" t="str">
        <f>_xlfn.XLOOKUP(__xlnm._FilterDatabase_159[[#This Row],[SAPSA Number]],Table1[SAPSA number],Table1[Surname])</f>
        <v>Booyse</v>
      </c>
      <c r="F15" s="28" t="str">
        <f>_xlfn.XLOOKUP(__xlnm._FilterDatabase_159[[#This Row],[SAPSA Number]],Table1[SAPSA number],Table1[Initials])</f>
        <v>A</v>
      </c>
      <c r="G15" s="17">
        <f>_xlfn.XLOOKUP(__xlnm._FilterDatabase_159[[#This Row],[SAPSA Number]],Table1[SAPSA number],Table1[Gender])</f>
        <v>0</v>
      </c>
      <c r="H15" s="19" t="e">
        <f>_xlfn.XLOOKUP(__xlnm._FilterDatabase_159[[#This Row],[SAPSA Number]],#REF!,#REF!)</f>
        <v>#REF!</v>
      </c>
      <c r="I15" s="19" t="s">
        <v>240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>RANK(K16,K$2:K$155,0)</f>
        <v>12</v>
      </c>
      <c r="B16" s="18">
        <v>4621</v>
      </c>
      <c r="C16" s="100">
        <f>_xlfn.XLOOKUP(__xlnm._FilterDatabase_159[[#This Row],[SAPSA Number]],Table1[SAPSA number],Table1[Paid up])</f>
        <v>0</v>
      </c>
      <c r="D16" s="39" t="str">
        <f>_xlfn.XLOOKUP(__xlnm._FilterDatabase_159[[#This Row],[SAPSA Number]],Table1[SAPSA number],Table1[Name])</f>
        <v>Colin</v>
      </c>
      <c r="E16" s="39" t="str">
        <f>_xlfn.XLOOKUP(__xlnm._FilterDatabase_159[[#This Row],[SAPSA Number]],Table1[SAPSA number],Table1[Surname])</f>
        <v>Bowring</v>
      </c>
      <c r="F16" s="28" t="str">
        <f>_xlfn.XLOOKUP(__xlnm._FilterDatabase_159[[#This Row],[SAPSA Number]],Table1[SAPSA number],Table1[Initials])</f>
        <v>C</v>
      </c>
      <c r="G16" s="17" t="str">
        <f ca="1">_xlfn.XLOOKUP(__xlnm._FilterDatabase_159[[#This Row],[SAPSA Number]],Table1[SAPSA number],Table1[Gender])</f>
        <v>SS</v>
      </c>
      <c r="H16" s="19" t="e">
        <f>_xlfn.XLOOKUP(__xlnm._FilterDatabase_159[[#This Row],[SAPSA Number]],#REF!,#REF!)</f>
        <v>#REF!</v>
      </c>
      <c r="I16" s="19" t="s">
        <v>240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ref="A17:A48" si="3">RANK(K17,K$2:K$136,0)</f>
        <v>12</v>
      </c>
      <c r="B17" s="18">
        <v>3338</v>
      </c>
      <c r="C17" s="100">
        <f>_xlfn.XLOOKUP(__xlnm._FilterDatabase_159[[#This Row],[SAPSA Number]],Table1[SAPSA number],Table1[Paid up])</f>
        <v>0</v>
      </c>
      <c r="D17" s="39" t="str">
        <f>_xlfn.XLOOKUP(__xlnm._FilterDatabase_159[[#This Row],[SAPSA Number]],Table1[SAPSA number],Table1[Name])</f>
        <v>Carl Johann</v>
      </c>
      <c r="E17" s="39" t="str">
        <f>_xlfn.XLOOKUP(__xlnm._FilterDatabase_159[[#This Row],[SAPSA Number]],Table1[SAPSA number],Table1[Surname])</f>
        <v>Brandt</v>
      </c>
      <c r="F17" s="28" t="str">
        <f>_xlfn.XLOOKUP(__xlnm._FilterDatabase_159[[#This Row],[SAPSA Number]],Table1[SAPSA number],Table1[Initials])</f>
        <v>CJ</v>
      </c>
      <c r="G17" s="17" t="str">
        <f ca="1">_xlfn.XLOOKUP(__xlnm._FilterDatabase_159[[#This Row],[SAPSA Number]],Table1[SAPSA number],Table1[Gender])</f>
        <v>S</v>
      </c>
      <c r="H17" s="19" t="e">
        <f>_xlfn.XLOOKUP(__xlnm._FilterDatabase_159[[#This Row],[SAPSA Number]],#REF!,#REF!)</f>
        <v>#REF!</v>
      </c>
      <c r="I17" s="19" t="s">
        <v>240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3"/>
        <v>12</v>
      </c>
      <c r="B18" s="25">
        <v>3576</v>
      </c>
      <c r="C18" s="25" t="str">
        <f>_xlfn.XLOOKUP(__xlnm._FilterDatabase_159[[#This Row],[SAPSA Number]],Table1[SAPSA number],Table1[Paid up])</f>
        <v>Y</v>
      </c>
      <c r="D18" s="39" t="str">
        <f>_xlfn.XLOOKUP(__xlnm._FilterDatabase_159[[#This Row],[SAPSA Number]],Table1[SAPSA number],Table1[Name])</f>
        <v>Christoff Mechiel</v>
      </c>
      <c r="E18" s="39" t="str">
        <f>_xlfn.XLOOKUP(__xlnm._FilterDatabase_159[[#This Row],[SAPSA Number]],Table1[SAPSA number],Table1[Surname])</f>
        <v>Brandt</v>
      </c>
      <c r="F18" s="28" t="str">
        <f>_xlfn.XLOOKUP(__xlnm._FilterDatabase_159[[#This Row],[SAPSA Number]],Table1[SAPSA number],Table1[Initials])</f>
        <v>CM</v>
      </c>
      <c r="G18" s="17" t="str">
        <f ca="1">_xlfn.XLOOKUP(__xlnm._FilterDatabase_159[[#This Row],[SAPSA Number]],Table1[SAPSA number],Table1[Gender])</f>
        <v xml:space="preserve"> </v>
      </c>
      <c r="H18" s="19" t="e">
        <f>_xlfn.XLOOKUP(__xlnm._FilterDatabase_159[[#This Row],[SAPSA Number]],#REF!,#REF!)</f>
        <v>#REF!</v>
      </c>
      <c r="I18" s="19" t="s">
        <v>240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3"/>
        <v>12</v>
      </c>
      <c r="B19" s="25">
        <v>259</v>
      </c>
      <c r="C19" s="25" t="str">
        <f>_xlfn.XLOOKUP(__xlnm._FilterDatabase_159[[#This Row],[SAPSA Number]],Table1[SAPSA number],Table1[Paid up])</f>
        <v>Y</v>
      </c>
      <c r="D19" s="39" t="str">
        <f>_xlfn.XLOOKUP(__xlnm._FilterDatabase_159[[#This Row],[SAPSA Number]],Table1[SAPSA number],Table1[Name])</f>
        <v>Kathleen Beresford</v>
      </c>
      <c r="E19" s="39" t="str">
        <f>_xlfn.XLOOKUP(__xlnm._FilterDatabase_159[[#This Row],[SAPSA Number]],Table1[SAPSA number],Table1[Surname])</f>
        <v>Carter</v>
      </c>
      <c r="F19" s="28" t="str">
        <f>_xlfn.XLOOKUP(__xlnm._FilterDatabase_159[[#This Row],[SAPSA Number]],Table1[SAPSA number],Table1[Initials])</f>
        <v>KB</v>
      </c>
      <c r="G19" s="17" t="str">
        <f>_xlfn.XLOOKUP(__xlnm._FilterDatabase_159[[#This Row],[SAPSA Number]],Table1[SAPSA number],Table1[Gender])</f>
        <v>Lady</v>
      </c>
      <c r="H19" s="19" t="e">
        <f>_xlfn.XLOOKUP(__xlnm._FilterDatabase_159[[#This Row],[SAPSA Number]],#REF!,#REF!)</f>
        <v>#REF!</v>
      </c>
      <c r="I19" s="19" t="s">
        <v>240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3"/>
        <v>12</v>
      </c>
      <c r="B20" s="25">
        <v>4316</v>
      </c>
      <c r="C20" s="25" t="str">
        <f>_xlfn.XLOOKUP(__xlnm._FilterDatabase_159[[#This Row],[SAPSA Number]],Table1[SAPSA number],Table1[Paid up])</f>
        <v>Y</v>
      </c>
      <c r="D20" s="39" t="str">
        <f>_xlfn.XLOOKUP(__xlnm._FilterDatabase_159[[#This Row],[SAPSA Number]],Table1[SAPSA number],Table1[Name])</f>
        <v>Wilhelm Jacobus</v>
      </c>
      <c r="E20" s="39" t="str">
        <f>_xlfn.XLOOKUP(__xlnm._FilterDatabase_159[[#This Row],[SAPSA Number]],Table1[SAPSA number],Table1[Surname])</f>
        <v>Coetzee</v>
      </c>
      <c r="F20" s="28" t="str">
        <f>_xlfn.XLOOKUP(__xlnm._FilterDatabase_159[[#This Row],[SAPSA Number]],Table1[SAPSA number],Table1[Initials])</f>
        <v>WJ</v>
      </c>
      <c r="G20" s="17" t="str">
        <f ca="1">_xlfn.XLOOKUP(__xlnm._FilterDatabase_159[[#This Row],[SAPSA Number]],Table1[SAPSA number],Table1[Gender])</f>
        <v>S</v>
      </c>
      <c r="H20" s="19" t="e">
        <f>_xlfn.XLOOKUP(__xlnm._FilterDatabase_159[[#This Row],[SAPSA Number]],#REF!,#REF!)</f>
        <v>#REF!</v>
      </c>
      <c r="I20" s="19" t="s">
        <v>240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3"/>
        <v>12</v>
      </c>
      <c r="B21" s="25">
        <v>591</v>
      </c>
      <c r="C21" s="25" t="str">
        <f>_xlfn.XLOOKUP(__xlnm._FilterDatabase_159[[#This Row],[SAPSA Number]],Table1[SAPSA number],Table1[Paid up])</f>
        <v>Y</v>
      </c>
      <c r="D21" s="39" t="str">
        <f>_xlfn.XLOOKUP(__xlnm._FilterDatabase_159[[#This Row],[SAPSA Number]],Table1[SAPSA number],Table1[Name])</f>
        <v>Enrico</v>
      </c>
      <c r="E21" s="39" t="str">
        <f>_xlfn.XLOOKUP(__xlnm._FilterDatabase_159[[#This Row],[SAPSA Number]],Table1[SAPSA number],Table1[Surname])</f>
        <v>Cupido</v>
      </c>
      <c r="F21" s="28" t="str">
        <f>_xlfn.XLOOKUP(__xlnm._FilterDatabase_159[[#This Row],[SAPSA Number]],Table1[SAPSA number],Table1[Initials])</f>
        <v>E</v>
      </c>
      <c r="G21" s="17" t="str">
        <f ca="1">_xlfn.XLOOKUP(__xlnm._FilterDatabase_159[[#This Row],[SAPSA Number]],Table1[SAPSA number],Table1[Gender])</f>
        <v>GS</v>
      </c>
      <c r="H21" s="19" t="e">
        <f>_xlfn.XLOOKUP(__xlnm._FilterDatabase_159[[#This Row],[SAPSA Number]],#REF!,#REF!)</f>
        <v>#REF!</v>
      </c>
      <c r="I21" s="19" t="s">
        <v>240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3"/>
        <v>12</v>
      </c>
      <c r="B22" s="25">
        <v>601</v>
      </c>
      <c r="C22" s="25" t="str">
        <f>_xlfn.XLOOKUP(__xlnm._FilterDatabase_159[[#This Row],[SAPSA Number]],Table1[SAPSA number],Table1[Paid up])</f>
        <v>Y</v>
      </c>
      <c r="D22" s="39" t="str">
        <f>_xlfn.XLOOKUP(__xlnm._FilterDatabase_159[[#This Row],[SAPSA Number]],Table1[SAPSA number],Table1[Name])</f>
        <v>Piero</v>
      </c>
      <c r="E22" s="39" t="str">
        <f>_xlfn.XLOOKUP(__xlnm._FilterDatabase_159[[#This Row],[SAPSA Number]],Table1[SAPSA number],Table1[Surname])</f>
        <v>Cupido</v>
      </c>
      <c r="F22" s="28" t="str">
        <f>_xlfn.XLOOKUP(__xlnm._FilterDatabase_159[[#This Row],[SAPSA Number]],Table1[SAPSA number],Table1[Initials])</f>
        <v>P</v>
      </c>
      <c r="G22" s="17" t="str">
        <f ca="1">_xlfn.XLOOKUP(__xlnm._FilterDatabase_159[[#This Row],[SAPSA Number]],Table1[SAPSA number],Table1[Gender])</f>
        <v xml:space="preserve"> </v>
      </c>
      <c r="H22" s="19" t="e">
        <f>_xlfn.XLOOKUP(__xlnm._FilterDatabase_159[[#This Row],[SAPSA Number]],#REF!,#REF!)</f>
        <v>#REF!</v>
      </c>
      <c r="I22" s="19" t="s">
        <v>240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3"/>
        <v>12</v>
      </c>
      <c r="B23" s="25">
        <v>288</v>
      </c>
      <c r="C23" s="25" t="str">
        <f>_xlfn.XLOOKUP(__xlnm._FilterDatabase_159[[#This Row],[SAPSA Number]],Table1[SAPSA number],Table1[Paid up])</f>
        <v>Y</v>
      </c>
      <c r="D23" s="39" t="str">
        <f>_xlfn.XLOOKUP(__xlnm._FilterDatabase_159[[#This Row],[SAPSA Number]],Table1[SAPSA number],Table1[Name])</f>
        <v>Feroz</v>
      </c>
      <c r="E23" s="39" t="str">
        <f>_xlfn.XLOOKUP(__xlnm._FilterDatabase_159[[#This Row],[SAPSA Number]],Table1[SAPSA number],Table1[Surname])</f>
        <v>Daya</v>
      </c>
      <c r="F23" s="28" t="str">
        <f>_xlfn.XLOOKUP(__xlnm._FilterDatabase_159[[#This Row],[SAPSA Number]],Table1[SAPSA number],Table1[Initials])</f>
        <v>F</v>
      </c>
      <c r="G23" s="17" t="str">
        <f ca="1">_xlfn.XLOOKUP(__xlnm._FilterDatabase_159[[#This Row],[SAPSA Number]],Table1[SAPSA number],Table1[Gender])</f>
        <v>S</v>
      </c>
      <c r="H23" s="19" t="e">
        <f>_xlfn.XLOOKUP(__xlnm._FilterDatabase_159[[#This Row],[SAPSA Number]],#REF!,#REF!)</f>
        <v>#REF!</v>
      </c>
      <c r="I23" s="19" t="s">
        <v>240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3"/>
        <v>12</v>
      </c>
      <c r="B24" s="40">
        <v>6846</v>
      </c>
      <c r="C24" s="25">
        <f>_xlfn.XLOOKUP(__xlnm._FilterDatabase_159[[#This Row],[SAPSA Number]],Table1[SAPSA number],Table1[Paid up])</f>
        <v>0</v>
      </c>
      <c r="D24" s="39" t="str">
        <f>_xlfn.XLOOKUP(__xlnm._FilterDatabase_159[[#This Row],[SAPSA Number]],Table1[SAPSA number],Table1[Name])</f>
        <v>Daniel Stephanus Jacobus</v>
      </c>
      <c r="E24" s="39" t="str">
        <f>_xlfn.XLOOKUP(__xlnm._FilterDatabase_159[[#This Row],[SAPSA Number]],Table1[SAPSA number],Table1[Surname])</f>
        <v>Dreyer</v>
      </c>
      <c r="F24" s="28" t="str">
        <f>_xlfn.XLOOKUP(__xlnm._FilterDatabase_159[[#This Row],[SAPSA Number]],Table1[SAPSA number],Table1[Initials])</f>
        <v>DSJ</v>
      </c>
      <c r="G24" s="17" t="str">
        <f ca="1">_xlfn.XLOOKUP(__xlnm._FilterDatabase_159[[#This Row],[SAPSA Number]],Table1[SAPSA number],Table1[Gender])</f>
        <v xml:space="preserve"> </v>
      </c>
      <c r="H24" s="19" t="e">
        <f>_xlfn.XLOOKUP(__xlnm._FilterDatabase_159[[#This Row],[SAPSA Number]],#REF!,#REF!)</f>
        <v>#REF!</v>
      </c>
      <c r="I24" s="19" t="s">
        <v>240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3"/>
        <v>12</v>
      </c>
      <c r="B25" s="25">
        <v>392</v>
      </c>
      <c r="C25" s="25" t="str">
        <f>_xlfn.XLOOKUP(__xlnm._FilterDatabase_159[[#This Row],[SAPSA Number]],Table1[SAPSA number],Table1[Paid up])</f>
        <v>Y</v>
      </c>
      <c r="D25" s="39" t="str">
        <f>_xlfn.XLOOKUP(__xlnm._FilterDatabase_159[[#This Row],[SAPSA Number]],Table1[SAPSA number],Table1[Name])</f>
        <v>Sasha-Lee</v>
      </c>
      <c r="E25" s="39" t="str">
        <f>_xlfn.XLOOKUP(__xlnm._FilterDatabase_159[[#This Row],[SAPSA Number]],Table1[SAPSA number],Table1[Surname])</f>
        <v>Du Plessis</v>
      </c>
      <c r="F25" s="28" t="str">
        <f>_xlfn.XLOOKUP(__xlnm._FilterDatabase_159[[#This Row],[SAPSA Number]],Table1[SAPSA number],Table1[Initials])</f>
        <v>SL</v>
      </c>
      <c r="G25" s="17" t="str">
        <f>_xlfn.XLOOKUP(__xlnm._FilterDatabase_159[[#This Row],[SAPSA Number]],Table1[SAPSA number],Table1[Gender])</f>
        <v>Lady</v>
      </c>
      <c r="H25" s="19" t="e">
        <f>_xlfn.XLOOKUP(__xlnm._FilterDatabase_159[[#This Row],[SAPSA Number]],#REF!,#REF!)</f>
        <v>#REF!</v>
      </c>
      <c r="I25" s="19" t="s">
        <v>240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3"/>
        <v>12</v>
      </c>
      <c r="B26" s="18">
        <v>127</v>
      </c>
      <c r="C26" s="100" t="str">
        <f>_xlfn.XLOOKUP(__xlnm._FilterDatabase_159[[#This Row],[SAPSA Number]],Table1[SAPSA number],Table1[Paid up])</f>
        <v>Y</v>
      </c>
      <c r="D26" s="39" t="str">
        <f>_xlfn.XLOOKUP(__xlnm._FilterDatabase_159[[#This Row],[SAPSA Number]],Table1[SAPSA number],Table1[Name])</f>
        <v>Eurika Susara</v>
      </c>
      <c r="E26" s="39" t="str">
        <f>_xlfn.XLOOKUP(__xlnm._FilterDatabase_159[[#This Row],[SAPSA Number]],Table1[SAPSA number],Table1[Surname])</f>
        <v>Du Plooy</v>
      </c>
      <c r="F26" s="28" t="str">
        <f>_xlfn.XLOOKUP(__xlnm._FilterDatabase_159[[#This Row],[SAPSA Number]],Table1[SAPSA number],Table1[Initials])</f>
        <v>E</v>
      </c>
      <c r="G26" s="17" t="str">
        <f>_xlfn.XLOOKUP(__xlnm._FilterDatabase_159[[#This Row],[SAPSA Number]],Table1[SAPSA number],Table1[Gender])</f>
        <v>SS</v>
      </c>
      <c r="H26" s="19" t="e">
        <f>_xlfn.XLOOKUP(__xlnm._FilterDatabase_159[[#This Row],[SAPSA Number]],#REF!,#REF!)</f>
        <v>#REF!</v>
      </c>
      <c r="I26" s="19" t="s">
        <v>240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3"/>
        <v>12</v>
      </c>
      <c r="B27" s="25">
        <v>393</v>
      </c>
      <c r="C27" s="25" t="str">
        <f>_xlfn.XLOOKUP(__xlnm._FilterDatabase_159[[#This Row],[SAPSA Number]],Table1[SAPSA number],Table1[Paid up])</f>
        <v>Y</v>
      </c>
      <c r="D27" s="39" t="str">
        <f>_xlfn.XLOOKUP(__xlnm._FilterDatabase_159[[#This Row],[SAPSA Number]],Table1[SAPSA number],Table1[Name])</f>
        <v>Robyn Angela</v>
      </c>
      <c r="E27" s="39" t="str">
        <f>_xlfn.XLOOKUP(__xlnm._FilterDatabase_159[[#This Row],[SAPSA Number]],Table1[SAPSA number],Table1[Surname])</f>
        <v>Evans</v>
      </c>
      <c r="F27" s="28" t="str">
        <f>_xlfn.XLOOKUP(__xlnm._FilterDatabase_159[[#This Row],[SAPSA Number]],Table1[SAPSA number],Table1[Initials])</f>
        <v>RA</v>
      </c>
      <c r="G27" s="17" t="str">
        <f>_xlfn.XLOOKUP(__xlnm._FilterDatabase_159[[#This Row],[SAPSA Number]],Table1[SAPSA number],Table1[Gender])</f>
        <v>Lady</v>
      </c>
      <c r="H27" s="19" t="e">
        <f>_xlfn.XLOOKUP(__xlnm._FilterDatabase_159[[#This Row],[SAPSA Number]],#REF!,#REF!)</f>
        <v>#REF!</v>
      </c>
      <c r="I27" s="19" t="s">
        <v>240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3"/>
        <v>12</v>
      </c>
      <c r="B28" s="25">
        <v>3172</v>
      </c>
      <c r="C28" s="25" t="str">
        <f>_xlfn.XLOOKUP(__xlnm._FilterDatabase_159[[#This Row],[SAPSA Number]],Table1[SAPSA number],Table1[Paid up])</f>
        <v>Y</v>
      </c>
      <c r="D28" s="39" t="str">
        <f>_xlfn.XLOOKUP(__xlnm._FilterDatabase_159[[#This Row],[SAPSA Number]],Table1[SAPSA number],Table1[Name])</f>
        <v>Mervyn-John</v>
      </c>
      <c r="E28" s="39" t="str">
        <f>_xlfn.XLOOKUP(__xlnm._FilterDatabase_159[[#This Row],[SAPSA Number]],Table1[SAPSA number],Table1[Surname])</f>
        <v>Evans</v>
      </c>
      <c r="F28" s="28" t="str">
        <f>_xlfn.XLOOKUP(__xlnm._FilterDatabase_159[[#This Row],[SAPSA Number]],Table1[SAPSA number],Table1[Initials])</f>
        <v>MJ</v>
      </c>
      <c r="G28" s="17" t="str">
        <f ca="1">_xlfn.XLOOKUP(__xlnm._FilterDatabase_159[[#This Row],[SAPSA Number]],Table1[SAPSA number],Table1[Gender])</f>
        <v>SS</v>
      </c>
      <c r="H28" s="19" t="e">
        <f>_xlfn.XLOOKUP(__xlnm._FilterDatabase_159[[#This Row],[SAPSA Number]],#REF!,#REF!)</f>
        <v>#REF!</v>
      </c>
      <c r="I28" s="19" t="s">
        <v>240</v>
      </c>
      <c r="J28" s="21">
        <f t="shared" si="1"/>
        <v>2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70</v>
      </c>
      <c r="W28" s="24">
        <v>71.3</v>
      </c>
    </row>
    <row r="29" spans="1:23" ht="14.4" customHeight="1" x14ac:dyDescent="0.3">
      <c r="A29" s="17">
        <f t="shared" si="3"/>
        <v>12</v>
      </c>
      <c r="B29" s="26">
        <v>3173</v>
      </c>
      <c r="C29" s="26" t="str">
        <f>_xlfn.XLOOKUP(__xlnm._FilterDatabase_159[[#This Row],[SAPSA Number]],Table1[SAPSA number],Table1[Paid up])</f>
        <v>Y</v>
      </c>
      <c r="D29" s="39" t="str">
        <f>_xlfn.XLOOKUP(__xlnm._FilterDatabase_159[[#This Row],[SAPSA Number]],Table1[SAPSA number],Table1[Name])</f>
        <v>Garrett-John</v>
      </c>
      <c r="E29" s="39" t="str">
        <f>_xlfn.XLOOKUP(__xlnm._FilterDatabase_159[[#This Row],[SAPSA Number]],Table1[SAPSA number],Table1[Surname])</f>
        <v>Evans</v>
      </c>
      <c r="F29" s="28" t="str">
        <f>_xlfn.XLOOKUP(__xlnm._FilterDatabase_159[[#This Row],[SAPSA Number]],Table1[SAPSA number],Table1[Initials])</f>
        <v>G-J</v>
      </c>
      <c r="G29" s="17" t="str">
        <f ca="1">_xlfn.XLOOKUP(__xlnm._FilterDatabase_159[[#This Row],[SAPSA Number]],Table1[SAPSA number],Table1[Gender])</f>
        <v xml:space="preserve"> </v>
      </c>
      <c r="H29" s="19" t="e">
        <f>_xlfn.XLOOKUP(__xlnm._FilterDatabase_159[[#This Row],[SAPSA Number]],#REF!,#REF!)</f>
        <v>#REF!</v>
      </c>
      <c r="I29" s="19" t="s">
        <v>240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3"/>
        <v>12</v>
      </c>
      <c r="B30" s="25">
        <v>7434</v>
      </c>
      <c r="C30" s="25">
        <f>_xlfn.XLOOKUP(__xlnm._FilterDatabase_159[[#This Row],[SAPSA Number]],Table1[SAPSA number],Table1[Paid up])</f>
        <v>0</v>
      </c>
      <c r="D30" s="39" t="str">
        <f>_xlfn.XLOOKUP(__xlnm._FilterDatabase_159[[#This Row],[SAPSA Number]],Table1[SAPSA number],Table1[Name])</f>
        <v>Shannon Kimberley</v>
      </c>
      <c r="E30" s="39" t="str">
        <f>_xlfn.XLOOKUP(__xlnm._FilterDatabase_159[[#This Row],[SAPSA Number]],Table1[SAPSA number],Table1[Surname])</f>
        <v>Gahagan</v>
      </c>
      <c r="F30" s="28" t="str">
        <f>_xlfn.XLOOKUP(__xlnm._FilterDatabase_159[[#This Row],[SAPSA Number]],Table1[SAPSA number],Table1[Initials])</f>
        <v>S</v>
      </c>
      <c r="G30" s="17" t="str">
        <f>_xlfn.XLOOKUP(__xlnm._FilterDatabase_159[[#This Row],[SAPSA Number]],Table1[SAPSA number],Table1[Gender])</f>
        <v>Lady</v>
      </c>
      <c r="H30" s="19" t="e">
        <f>_xlfn.XLOOKUP(__xlnm._FilterDatabase_159[[#This Row],[SAPSA Number]],#REF!,#REF!)</f>
        <v>#REF!</v>
      </c>
      <c r="I30" s="19" t="s">
        <v>240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12</v>
      </c>
      <c r="B31" s="25">
        <v>3782</v>
      </c>
      <c r="C31" s="25">
        <f>_xlfn.XLOOKUP(__xlnm._FilterDatabase_159[[#This Row],[SAPSA Number]],Table1[SAPSA number],Table1[Paid up])</f>
        <v>0</v>
      </c>
      <c r="D31" s="39" t="str">
        <f>_xlfn.XLOOKUP(__xlnm._FilterDatabase_159[[#This Row],[SAPSA Number]],Table1[SAPSA number],Table1[Name])</f>
        <v>Gary Athol</v>
      </c>
      <c r="E31" s="39" t="str">
        <f>_xlfn.XLOOKUP(__xlnm._FilterDatabase_159[[#This Row],[SAPSA Number]],Table1[SAPSA number],Table1[Surname])</f>
        <v>Hagemann</v>
      </c>
      <c r="F31" s="28" t="str">
        <f>_xlfn.XLOOKUP(__xlnm._FilterDatabase_159[[#This Row],[SAPSA Number]],Table1[SAPSA number],Table1[Initials])</f>
        <v>GA</v>
      </c>
      <c r="G31" s="17" t="str">
        <f ca="1">_xlfn.XLOOKUP(__xlnm._FilterDatabase_159[[#This Row],[SAPSA Number]],Table1[SAPSA number],Table1[Gender])</f>
        <v>S</v>
      </c>
      <c r="H31" s="19" t="e">
        <f>_xlfn.XLOOKUP(__xlnm._FilterDatabase_159[[#This Row],[SAPSA Number]],#REF!,#REF!)</f>
        <v>#REF!</v>
      </c>
      <c r="I31" s="19" t="s">
        <v>240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12</v>
      </c>
      <c r="B32" s="25">
        <v>6308</v>
      </c>
      <c r="C32" s="25">
        <f>_xlfn.XLOOKUP(__xlnm._FilterDatabase_159[[#This Row],[SAPSA Number]],Table1[SAPSA number],Table1[Paid up])</f>
        <v>0</v>
      </c>
      <c r="D32" s="39" t="str">
        <f>_xlfn.XLOOKUP(__xlnm._FilterDatabase_159[[#This Row],[SAPSA Number]],Table1[SAPSA number],Table1[Name])</f>
        <v>James Matthew</v>
      </c>
      <c r="E32" s="39" t="str">
        <f>_xlfn.XLOOKUP(__xlnm._FilterDatabase_159[[#This Row],[SAPSA Number]],Table1[SAPSA number],Table1[Surname])</f>
        <v>Hagemann</v>
      </c>
      <c r="F32" s="28" t="str">
        <f>_xlfn.XLOOKUP(__xlnm._FilterDatabase_159[[#This Row],[SAPSA Number]],Table1[SAPSA number],Table1[Initials])</f>
        <v>JM</v>
      </c>
      <c r="G32" s="17" t="str">
        <f ca="1">_xlfn.XLOOKUP(__xlnm._FilterDatabase_159[[#This Row],[SAPSA Number]],Table1[SAPSA number],Table1[Gender])</f>
        <v>Jnr</v>
      </c>
      <c r="H32" s="19" t="e">
        <f>_xlfn.XLOOKUP(__xlnm._FilterDatabase_159[[#This Row],[SAPSA Number]],#REF!,#REF!)</f>
        <v>#REF!</v>
      </c>
      <c r="I32" s="19" t="s">
        <v>240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3"/>
        <v>12</v>
      </c>
      <c r="B33" s="25">
        <v>7328</v>
      </c>
      <c r="C33" s="25" t="str">
        <f>_xlfn.XLOOKUP(__xlnm._FilterDatabase_159[[#This Row],[SAPSA Number]],Table1[SAPSA number],Table1[Paid up])</f>
        <v>Y</v>
      </c>
      <c r="D33" s="39" t="str">
        <f>_xlfn.XLOOKUP(__xlnm._FilterDatabase_159[[#This Row],[SAPSA Number]],Table1[SAPSA number],Table1[Name])</f>
        <v>Sizwe</v>
      </c>
      <c r="E33" s="39" t="str">
        <f>_xlfn.XLOOKUP(__xlnm._FilterDatabase_159[[#This Row],[SAPSA Number]],Table1[SAPSA number],Table1[Surname])</f>
        <v>Hlongwane</v>
      </c>
      <c r="F33" s="28" t="str">
        <f>_xlfn.XLOOKUP(__xlnm._FilterDatabase_159[[#This Row],[SAPSA Number]],Table1[SAPSA number],Table1[Initials])</f>
        <v>S</v>
      </c>
      <c r="G33" s="17" t="str">
        <f ca="1">_xlfn.XLOOKUP(__xlnm._FilterDatabase_159[[#This Row],[SAPSA Number]],Table1[SAPSA number],Table1[Gender])</f>
        <v xml:space="preserve"> </v>
      </c>
      <c r="H33" s="19" t="e">
        <f>_xlfn.XLOOKUP(__xlnm._FilterDatabase_159[[#This Row],[SAPSA Number]],#REF!,#REF!)</f>
        <v>#REF!</v>
      </c>
      <c r="I33" s="19" t="s">
        <v>240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3"/>
        <v>12</v>
      </c>
      <c r="B34" s="27">
        <v>7271</v>
      </c>
      <c r="C34" s="101" t="str">
        <f>_xlfn.XLOOKUP(__xlnm._FilterDatabase_159[[#This Row],[SAPSA Number]],Table1[SAPSA number],Table1[Paid up])</f>
        <v>Y</v>
      </c>
      <c r="D34" s="39" t="str">
        <f>_xlfn.XLOOKUP(__xlnm._FilterDatabase_159[[#This Row],[SAPSA Number]],Table1[SAPSA number],Table1[Name])</f>
        <v>Johan</v>
      </c>
      <c r="E34" s="39" t="str">
        <f>_xlfn.XLOOKUP(__xlnm._FilterDatabase_159[[#This Row],[SAPSA Number]],Table1[SAPSA number],Table1[Surname])</f>
        <v>Jacobs</v>
      </c>
      <c r="F34" s="28" t="str">
        <f>_xlfn.XLOOKUP(__xlnm._FilterDatabase_159[[#This Row],[SAPSA Number]],Table1[SAPSA number],Table1[Initials])</f>
        <v>J</v>
      </c>
      <c r="G34" s="17" t="str">
        <f ca="1">_xlfn.XLOOKUP(__xlnm._FilterDatabase_159[[#This Row],[SAPSA Number]],Table1[SAPSA number],Table1[Gender])</f>
        <v xml:space="preserve"> </v>
      </c>
      <c r="H34" s="19" t="e">
        <f>_xlfn.XLOOKUP(__xlnm._FilterDatabase_159[[#This Row],[SAPSA Number]],#REF!,#REF!)</f>
        <v>#REF!</v>
      </c>
      <c r="I34" s="19" t="s">
        <v>240</v>
      </c>
      <c r="J34" s="21">
        <f t="shared" ref="J34:J70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3"/>
        <v>12</v>
      </c>
      <c r="B35" s="25">
        <v>2655</v>
      </c>
      <c r="C35" s="25" t="str">
        <f>_xlfn.XLOOKUP(__xlnm._FilterDatabase_159[[#This Row],[SAPSA Number]],Table1[SAPSA number],Table1[Paid up])</f>
        <v>Y</v>
      </c>
      <c r="D35" s="39" t="str">
        <f>_xlfn.XLOOKUP(__xlnm._FilterDatabase_159[[#This Row],[SAPSA Number]],Table1[SAPSA number],Table1[Name])</f>
        <v>Ruben</v>
      </c>
      <c r="E35" s="39" t="str">
        <f>_xlfn.XLOOKUP(__xlnm._FilterDatabase_159[[#This Row],[SAPSA Number]],Table1[SAPSA number],Table1[Surname])</f>
        <v>Joubert</v>
      </c>
      <c r="F35" s="28" t="str">
        <f>_xlfn.XLOOKUP(__xlnm._FilterDatabase_159[[#This Row],[SAPSA Number]],Table1[SAPSA number],Table1[Initials])</f>
        <v>R</v>
      </c>
      <c r="G35" s="17" t="str">
        <f ca="1">_xlfn.XLOOKUP(__xlnm._FilterDatabase_159[[#This Row],[SAPSA Number]],Table1[SAPSA number],Table1[Gender])</f>
        <v>Jnr</v>
      </c>
      <c r="H35" s="19" t="e">
        <f>_xlfn.XLOOKUP(__xlnm._FilterDatabase_159[[#This Row],[SAPSA Number]],#REF!,#REF!)</f>
        <v>#REF!</v>
      </c>
      <c r="I35" s="19" t="s">
        <v>240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3"/>
        <v>12</v>
      </c>
      <c r="B36" s="18">
        <v>3339</v>
      </c>
      <c r="C36" s="100" t="str">
        <f>_xlfn.XLOOKUP(__xlnm._FilterDatabase_159[[#This Row],[SAPSA Number]],Table1[SAPSA number],Table1[Paid up])</f>
        <v>Y</v>
      </c>
      <c r="D36" s="39" t="str">
        <f>_xlfn.XLOOKUP(__xlnm._FilterDatabase_159[[#This Row],[SAPSA Number]],Table1[SAPSA number],Table1[Name])</f>
        <v>Hendrik Johannes</v>
      </c>
      <c r="E36" s="39" t="str">
        <f>_xlfn.XLOOKUP(__xlnm._FilterDatabase_159[[#This Row],[SAPSA Number]],Table1[SAPSA number],Table1[Surname])</f>
        <v>Joubert</v>
      </c>
      <c r="F36" s="28" t="str">
        <f>_xlfn.XLOOKUP(__xlnm._FilterDatabase_159[[#This Row],[SAPSA Number]],Table1[SAPSA number],Table1[Initials])</f>
        <v>HJ</v>
      </c>
      <c r="G36" s="17" t="str">
        <f ca="1">_xlfn.XLOOKUP(__xlnm._FilterDatabase_159[[#This Row],[SAPSA Number]],Table1[SAPSA number],Table1[Gender])</f>
        <v>S</v>
      </c>
      <c r="H36" s="19" t="e">
        <f>_xlfn.XLOOKUP(__xlnm._FilterDatabase_159[[#This Row],[SAPSA Number]],#REF!,#REF!)</f>
        <v>#REF!</v>
      </c>
      <c r="I36" s="19" t="s">
        <v>240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12</v>
      </c>
      <c r="B37" s="18">
        <v>4094</v>
      </c>
      <c r="C37" s="100" t="str">
        <f>_xlfn.XLOOKUP(__xlnm._FilterDatabase_159[[#This Row],[SAPSA Number]],Table1[SAPSA number],Table1[Paid up])</f>
        <v>Y</v>
      </c>
      <c r="D37" s="39" t="str">
        <f>_xlfn.XLOOKUP(__xlnm._FilterDatabase_159[[#This Row],[SAPSA Number]],Table1[SAPSA number],Table1[Name])</f>
        <v>Johan</v>
      </c>
      <c r="E37" s="39" t="str">
        <f>_xlfn.XLOOKUP(__xlnm._FilterDatabase_159[[#This Row],[SAPSA Number]],Table1[SAPSA number],Table1[Surname])</f>
        <v>Kemp</v>
      </c>
      <c r="F37" s="28" t="str">
        <f>_xlfn.XLOOKUP(__xlnm._FilterDatabase_159[[#This Row],[SAPSA Number]],Table1[SAPSA number],Table1[Initials])</f>
        <v>J</v>
      </c>
      <c r="G37" s="17" t="str">
        <f ca="1">_xlfn.XLOOKUP(__xlnm._FilterDatabase_159[[#This Row],[SAPSA Number]],Table1[SAPSA number],Table1[Gender])</f>
        <v xml:space="preserve"> </v>
      </c>
      <c r="H37" s="19" t="e">
        <f>_xlfn.XLOOKUP(__xlnm._FilterDatabase_159[[#This Row],[SAPSA Number]],#REF!,#REF!)</f>
        <v>#REF!</v>
      </c>
      <c r="I37" s="19" t="s">
        <v>240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12</v>
      </c>
      <c r="B38" s="86">
        <v>6968</v>
      </c>
      <c r="C38" s="99" t="str">
        <f>_xlfn.XLOOKUP(__xlnm._FilterDatabase_159[[#This Row],[SAPSA Number]],Table1[SAPSA number],Table1[Paid up])</f>
        <v>Y</v>
      </c>
      <c r="D38" s="39" t="str">
        <f>_xlfn.XLOOKUP(__xlnm._FilterDatabase_159[[#This Row],[SAPSA Number]],Table1[SAPSA number],Table1[Name])</f>
        <v>Ian John</v>
      </c>
      <c r="E38" s="39" t="str">
        <f>_xlfn.XLOOKUP(__xlnm._FilterDatabase_159[[#This Row],[SAPSA Number]],Table1[SAPSA number],Table1[Surname])</f>
        <v>Kewley</v>
      </c>
      <c r="F38" s="28" t="str">
        <f>_xlfn.XLOOKUP(__xlnm._FilterDatabase_159[[#This Row],[SAPSA Number]],Table1[SAPSA number],Table1[Initials])</f>
        <v>IJ</v>
      </c>
      <c r="G38" s="17" t="str">
        <f ca="1">_xlfn.XLOOKUP(__xlnm._FilterDatabase_159[[#This Row],[SAPSA Number]],Table1[SAPSA number],Table1[Gender])</f>
        <v xml:space="preserve"> </v>
      </c>
      <c r="H38" s="19" t="e">
        <f>_xlfn.XLOOKUP(__xlnm._FilterDatabase_159[[#This Row],[SAPSA Number]],#REF!,#REF!)</f>
        <v>#REF!</v>
      </c>
      <c r="I38" s="19" t="s">
        <v>240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12</v>
      </c>
      <c r="B39" s="86">
        <v>7260</v>
      </c>
      <c r="C39" s="99">
        <f>_xlfn.XLOOKUP(__xlnm._FilterDatabase_159[[#This Row],[SAPSA Number]],Table1[SAPSA number],Table1[Paid up])</f>
        <v>0</v>
      </c>
      <c r="D39" s="39" t="str">
        <f>_xlfn.XLOOKUP(__xlnm._FilterDatabase_159[[#This Row],[SAPSA Number]],Table1[SAPSA number],Table1[Name])</f>
        <v>Glenn</v>
      </c>
      <c r="E39" s="39" t="str">
        <f>_xlfn.XLOOKUP(__xlnm._FilterDatabase_159[[#This Row],[SAPSA Number]],Table1[SAPSA number],Table1[Surname])</f>
        <v>Kieser</v>
      </c>
      <c r="F39" s="28" t="str">
        <f>_xlfn.XLOOKUP(__xlnm._FilterDatabase_159[[#This Row],[SAPSA Number]],Table1[SAPSA number],Table1[Initials])</f>
        <v>G</v>
      </c>
      <c r="G39" s="17" t="str">
        <f ca="1">_xlfn.XLOOKUP(__xlnm._FilterDatabase_159[[#This Row],[SAPSA Number]],Table1[SAPSA number],Table1[Gender])</f>
        <v>SS</v>
      </c>
      <c r="H39" s="19" t="e">
        <f>_xlfn.XLOOKUP(__xlnm._FilterDatabase_159[[#This Row],[SAPSA Number]],#REF!,#REF!)</f>
        <v>#REF!</v>
      </c>
      <c r="I39" s="19" t="s">
        <v>240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12</v>
      </c>
      <c r="B40" s="26">
        <v>252</v>
      </c>
      <c r="C40" s="26" t="str">
        <f>_xlfn.XLOOKUP(__xlnm._FilterDatabase_159[[#This Row],[SAPSA Number]],Table1[SAPSA number],Table1[Paid up])</f>
        <v>Y</v>
      </c>
      <c r="D40" s="39" t="str">
        <f>_xlfn.XLOOKUP(__xlnm._FilterDatabase_159[[#This Row],[SAPSA Number]],Table1[SAPSA number],Table1[Name])</f>
        <v>Deon</v>
      </c>
      <c r="E40" s="39" t="str">
        <f>_xlfn.XLOOKUP(__xlnm._FilterDatabase_159[[#This Row],[SAPSA Number]],Table1[SAPSA number],Table1[Surname])</f>
        <v>Labuschagne</v>
      </c>
      <c r="F40" s="28" t="str">
        <f>_xlfn.XLOOKUP(__xlnm._FilterDatabase_159[[#This Row],[SAPSA Number]],Table1[SAPSA number],Table1[Initials])</f>
        <v>D</v>
      </c>
      <c r="G40" s="17" t="str">
        <f ca="1">_xlfn.XLOOKUP(__xlnm._FilterDatabase_159[[#This Row],[SAPSA Number]],Table1[SAPSA number],Table1[Gender])</f>
        <v>GS</v>
      </c>
      <c r="H40" s="19" t="e">
        <f>_xlfn.XLOOKUP(__xlnm._FilterDatabase_159[[#This Row],[SAPSA Number]],#REF!,#REF!)</f>
        <v>#REF!</v>
      </c>
      <c r="I40" s="19" t="s">
        <v>240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si="3"/>
        <v>12</v>
      </c>
      <c r="B41" s="26">
        <v>683</v>
      </c>
      <c r="C41" s="26">
        <f>_xlfn.XLOOKUP(__xlnm._FilterDatabase_159[[#This Row],[SAPSA Number]],Table1[SAPSA number],Table1[Paid up])</f>
        <v>0</v>
      </c>
      <c r="D41" s="39" t="str">
        <f>_xlfn.XLOOKUP(__xlnm._FilterDatabase_159[[#This Row],[SAPSA Number]],Table1[SAPSA number],Table1[Name])</f>
        <v>Ivor</v>
      </c>
      <c r="E41" s="39" t="str">
        <f>_xlfn.XLOOKUP(__xlnm._FilterDatabase_159[[#This Row],[SAPSA Number]],Table1[SAPSA number],Table1[Surname])</f>
        <v>Marais</v>
      </c>
      <c r="F41" s="28" t="str">
        <f>_xlfn.XLOOKUP(__xlnm._FilterDatabase_159[[#This Row],[SAPSA Number]],Table1[SAPSA number],Table1[Initials])</f>
        <v>I</v>
      </c>
      <c r="G41" s="17" t="str">
        <f ca="1">_xlfn.XLOOKUP(__xlnm._FilterDatabase_159[[#This Row],[SAPSA Number]],Table1[SAPSA number],Table1[Gender])</f>
        <v>S</v>
      </c>
      <c r="H41" s="19" t="e">
        <f>_xlfn.XLOOKUP(__xlnm._FilterDatabase_159[[#This Row],[SAPSA Number]],#REF!,#REF!)</f>
        <v>#REF!</v>
      </c>
      <c r="I41" s="19" t="s">
        <v>240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 t="shared" si="3"/>
        <v>12</v>
      </c>
      <c r="B42" s="25">
        <v>6966</v>
      </c>
      <c r="C42" s="25" t="str">
        <f>_xlfn.XLOOKUP(__xlnm._FilterDatabase_159[[#This Row],[SAPSA Number]],Table1[SAPSA number],Table1[Paid up])</f>
        <v>Y</v>
      </c>
      <c r="D42" s="39" t="str">
        <f>_xlfn.XLOOKUP(__xlnm._FilterDatabase_159[[#This Row],[SAPSA Number]],Table1[SAPSA number],Table1[Name])</f>
        <v>James</v>
      </c>
      <c r="E42" s="39" t="str">
        <f>_xlfn.XLOOKUP(__xlnm._FilterDatabase_159[[#This Row],[SAPSA Number]],Table1[SAPSA number],Table1[Surname])</f>
        <v>Masonganye</v>
      </c>
      <c r="F42" s="28" t="str">
        <f>_xlfn.XLOOKUP(__xlnm._FilterDatabase_159[[#This Row],[SAPSA Number]],Table1[SAPSA number],Table1[Initials])</f>
        <v>J</v>
      </c>
      <c r="G42" s="17" t="str">
        <f ca="1">_xlfn.XLOOKUP(__xlnm._FilterDatabase_159[[#This Row],[SAPSA Number]],Table1[SAPSA number],Table1[Gender])</f>
        <v>S</v>
      </c>
      <c r="H42" s="19" t="e">
        <f>_xlfn.XLOOKUP(__xlnm._FilterDatabase_159[[#This Row],[SAPSA Number]],#REF!,#REF!)</f>
        <v>#REF!</v>
      </c>
      <c r="I42" s="19" t="s">
        <v>240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3"/>
        <v>12</v>
      </c>
      <c r="B43" s="18">
        <v>7132</v>
      </c>
      <c r="C43" s="100" t="str">
        <f>_xlfn.XLOOKUP(__xlnm._FilterDatabase_159[[#This Row],[SAPSA Number]],Table1[SAPSA number],Table1[Paid up])</f>
        <v>Y</v>
      </c>
      <c r="D43" s="39" t="str">
        <f>_xlfn.XLOOKUP(__xlnm._FilterDatabase_159[[#This Row],[SAPSA Number]],Table1[SAPSA number],Table1[Name])</f>
        <v>Yussuf</v>
      </c>
      <c r="E43" s="39" t="str">
        <f>_xlfn.XLOOKUP(__xlnm._FilterDatabase_159[[#This Row],[SAPSA Number]],Table1[SAPSA number],Table1[Surname])</f>
        <v>Mayet</v>
      </c>
      <c r="F43" s="28" t="str">
        <f>_xlfn.XLOOKUP(__xlnm._FilterDatabase_159[[#This Row],[SAPSA Number]],Table1[SAPSA number],Table1[Initials])</f>
        <v>Y</v>
      </c>
      <c r="G43" s="17" t="str">
        <f ca="1">_xlfn.XLOOKUP(__xlnm._FilterDatabase_159[[#This Row],[SAPSA Number]],Table1[SAPSA number],Table1[Gender])</f>
        <v>GS</v>
      </c>
      <c r="H43" s="19" t="e">
        <f>_xlfn.XLOOKUP(__xlnm._FilterDatabase_159[[#This Row],[SAPSA Number]],#REF!,#REF!)</f>
        <v>#REF!</v>
      </c>
      <c r="I43" s="19" t="s">
        <v>240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3"/>
        <v>12</v>
      </c>
      <c r="B44" s="26">
        <v>5200</v>
      </c>
      <c r="C44" s="26">
        <f>_xlfn.XLOOKUP(__xlnm._FilterDatabase_159[[#This Row],[SAPSA Number]],Table1[SAPSA number],Table1[Paid up])</f>
        <v>0</v>
      </c>
      <c r="D44" s="39" t="str">
        <f>_xlfn.XLOOKUP(__xlnm._FilterDatabase_159[[#This Row],[SAPSA Number]],Table1[SAPSA number],Table1[Name])</f>
        <v>Daniel</v>
      </c>
      <c r="E44" s="39" t="str">
        <f>_xlfn.XLOOKUP(__xlnm._FilterDatabase_159[[#This Row],[SAPSA Number]],Table1[SAPSA number],Table1[Surname])</f>
        <v>McWilliam</v>
      </c>
      <c r="F44" s="28" t="str">
        <f>_xlfn.XLOOKUP(__xlnm._FilterDatabase_159[[#This Row],[SAPSA Number]],Table1[SAPSA number],Table1[Initials])</f>
        <v>D</v>
      </c>
      <c r="G44" s="17" t="str">
        <f ca="1">_xlfn.XLOOKUP(__xlnm._FilterDatabase_159[[#This Row],[SAPSA Number]],Table1[SAPSA number],Table1[Gender])</f>
        <v xml:space="preserve"> </v>
      </c>
      <c r="H44" s="19" t="e">
        <f>_xlfn.XLOOKUP(__xlnm._FilterDatabase_159[[#This Row],[SAPSA Number]],#REF!,#REF!)</f>
        <v>#REF!</v>
      </c>
      <c r="I44" s="19" t="s">
        <v>240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3"/>
        <v>12</v>
      </c>
      <c r="B45" s="25">
        <v>1771</v>
      </c>
      <c r="C45" s="26" t="str">
        <f>_xlfn.XLOOKUP(__xlnm._FilterDatabase_159[[#This Row],[SAPSA Number]],Table1[SAPSA number],Table1[Paid up])</f>
        <v>Y</v>
      </c>
      <c r="D45" s="39" t="str">
        <f>_xlfn.XLOOKUP(__xlnm._FilterDatabase_159[[#This Row],[SAPSA Number]],Table1[SAPSA number],Table1[Name])</f>
        <v>Rodney Ralph</v>
      </c>
      <c r="E45" s="39" t="str">
        <f>_xlfn.XLOOKUP(__xlnm._FilterDatabase_159[[#This Row],[SAPSA Number]],Table1[SAPSA number],Table1[Surname])</f>
        <v>Mills</v>
      </c>
      <c r="F45" s="28" t="str">
        <f>_xlfn.XLOOKUP(__xlnm._FilterDatabase_159[[#This Row],[SAPSA Number]],Table1[SAPSA number],Table1[Initials])</f>
        <v>RR</v>
      </c>
      <c r="G45" s="17" t="str">
        <f ca="1">_xlfn.XLOOKUP(__xlnm._FilterDatabase_159[[#This Row],[SAPSA Number]],Table1[SAPSA number],Table1[Gender])</f>
        <v>GS</v>
      </c>
      <c r="H45" s="19" t="e">
        <f>_xlfn.XLOOKUP(__xlnm._FilterDatabase_159[[#This Row],[SAPSA Number]],#REF!,#REF!)</f>
        <v>#REF!</v>
      </c>
      <c r="I45" s="19" t="s">
        <v>240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3"/>
        <v>12</v>
      </c>
      <c r="B46" s="25">
        <v>1637</v>
      </c>
      <c r="C46" s="26">
        <f>_xlfn.XLOOKUP(__xlnm._FilterDatabase_159[[#This Row],[SAPSA Number]],Table1[SAPSA number],Table1[Paid up])</f>
        <v>0</v>
      </c>
      <c r="D46" s="39" t="str">
        <f>_xlfn.XLOOKUP(__xlnm._FilterDatabase_159[[#This Row],[SAPSA Number]],Table1[SAPSA number],Table1[Name])</f>
        <v>Andre Johann Pieter</v>
      </c>
      <c r="E46" s="39" t="str">
        <f>_xlfn.XLOOKUP(__xlnm._FilterDatabase_159[[#This Row],[SAPSA Number]],Table1[SAPSA number],Table1[Surname])</f>
        <v>Mouton</v>
      </c>
      <c r="F46" s="28" t="str">
        <f>_xlfn.XLOOKUP(__xlnm._FilterDatabase_159[[#This Row],[SAPSA Number]],Table1[SAPSA number],Table1[Initials])</f>
        <v>AJP</v>
      </c>
      <c r="G46" s="17" t="str">
        <f ca="1">_xlfn.XLOOKUP(__xlnm._FilterDatabase_159[[#This Row],[SAPSA Number]],Table1[SAPSA number],Table1[Gender])</f>
        <v>GS</v>
      </c>
      <c r="H46" s="19" t="e">
        <f>_xlfn.XLOOKUP(__xlnm._FilterDatabase_159[[#This Row],[SAPSA Number]],#REF!,#REF!)</f>
        <v>#REF!</v>
      </c>
      <c r="I46" s="19" t="s">
        <v>240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3"/>
        <v>12</v>
      </c>
      <c r="B47" s="18">
        <v>7478</v>
      </c>
      <c r="C47" s="100">
        <f>_xlfn.XLOOKUP(__xlnm._FilterDatabase_159[[#This Row],[SAPSA Number]],Table1[SAPSA number],Table1[Paid up])</f>
        <v>0</v>
      </c>
      <c r="D47" s="39" t="str">
        <f>_xlfn.XLOOKUP(__xlnm._FilterDatabase_159[[#This Row],[SAPSA Number]],Table1[SAPSA number],Table1[Name])</f>
        <v>Annemarie</v>
      </c>
      <c r="E47" s="39" t="str">
        <f>_xlfn.XLOOKUP(__xlnm._FilterDatabase_159[[#This Row],[SAPSA Number]],Table1[SAPSA number],Table1[Surname])</f>
        <v>Pienaar</v>
      </c>
      <c r="F47" s="28" t="str">
        <f>_xlfn.XLOOKUP(__xlnm._FilterDatabase_159[[#This Row],[SAPSA Number]],Table1[SAPSA number],Table1[Initials])</f>
        <v>A</v>
      </c>
      <c r="G47" s="17" t="str">
        <f>_xlfn.XLOOKUP(__xlnm._FilterDatabase_159[[#This Row],[SAPSA Number]],Table1[SAPSA number],Table1[Gender])</f>
        <v>Lady</v>
      </c>
      <c r="H47" s="19" t="e">
        <f>_xlfn.XLOOKUP(__xlnm._FilterDatabase_159[[#This Row],[SAPSA Number]],#REF!,#REF!)</f>
        <v>#REF!</v>
      </c>
      <c r="I47" s="19" t="s">
        <v>240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3">
      <c r="A48" s="17">
        <f t="shared" si="3"/>
        <v>12</v>
      </c>
      <c r="B48" s="25">
        <v>2950</v>
      </c>
      <c r="C48" s="25">
        <f>_xlfn.XLOOKUP(__xlnm._FilterDatabase_159[[#This Row],[SAPSA Number]],Table1[SAPSA number],Table1[Paid up])</f>
        <v>0</v>
      </c>
      <c r="D48" s="39" t="str">
        <f>_xlfn.XLOOKUP(__xlnm._FilterDatabase_159[[#This Row],[SAPSA Number]],Table1[SAPSA number],Table1[Name])</f>
        <v>Renier Jansen</v>
      </c>
      <c r="E48" s="39" t="str">
        <f>_xlfn.XLOOKUP(__xlnm._FilterDatabase_159[[#This Row],[SAPSA Number]],Table1[SAPSA number],Table1[Surname])</f>
        <v>Reynders</v>
      </c>
      <c r="F48" s="28" t="str">
        <f>_xlfn.XLOOKUP(__xlnm._FilterDatabase_159[[#This Row],[SAPSA Number]],Table1[SAPSA number],Table1[Initials])</f>
        <v>RJ</v>
      </c>
      <c r="G48" s="17" t="str">
        <f ca="1">_xlfn.XLOOKUP(__xlnm._FilterDatabase_159[[#This Row],[SAPSA Number]],Table1[SAPSA number],Table1[Gender])</f>
        <v xml:space="preserve"> </v>
      </c>
      <c r="H48" s="19" t="e">
        <f>_xlfn.XLOOKUP(__xlnm._FilterDatabase_159[[#This Row],[SAPSA Number]],#REF!,#REF!)</f>
        <v>#REF!</v>
      </c>
      <c r="I48" s="19" t="s">
        <v>240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ref="A49:A70" si="6">RANK(K49,K$2:K$136,0)</f>
        <v>12</v>
      </c>
      <c r="B49" s="25">
        <v>1929</v>
      </c>
      <c r="C49" s="25">
        <f>_xlfn.XLOOKUP(__xlnm._FilterDatabase_159[[#This Row],[SAPSA Number]],Table1[SAPSA number],Table1[Paid up])</f>
        <v>0</v>
      </c>
      <c r="D49" s="39" t="str">
        <f>_xlfn.XLOOKUP(__xlnm._FilterDatabase_159[[#This Row],[SAPSA Number]],Table1[SAPSA number],Table1[Name])</f>
        <v>Chris</v>
      </c>
      <c r="E49" s="39" t="str">
        <f>_xlfn.XLOOKUP(__xlnm._FilterDatabase_159[[#This Row],[SAPSA Number]],Table1[SAPSA number],Table1[Surname])</f>
        <v>Ridout</v>
      </c>
      <c r="F49" s="28" t="str">
        <f>_xlfn.XLOOKUP(__xlnm._FilterDatabase_159[[#This Row],[SAPSA Number]],Table1[SAPSA number],Table1[Initials])</f>
        <v>CJ</v>
      </c>
      <c r="G49" s="17" t="str">
        <f ca="1">_xlfn.XLOOKUP(__xlnm._FilterDatabase_159[[#This Row],[SAPSA Number]],Table1[SAPSA number],Table1[Gender])</f>
        <v xml:space="preserve"> </v>
      </c>
      <c r="H49" s="19" t="e">
        <f>_xlfn.XLOOKUP(__xlnm._FilterDatabase_159[[#This Row],[SAPSA Number]],#REF!,#REF!)</f>
        <v>#REF!</v>
      </c>
      <c r="I49" s="19" t="s">
        <v>240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6"/>
        <v>12</v>
      </c>
      <c r="B50" s="25">
        <v>3822</v>
      </c>
      <c r="C50" s="25" t="str">
        <f>_xlfn.XLOOKUP(__xlnm._FilterDatabase_159[[#This Row],[SAPSA Number]],Table1[SAPSA number],Table1[Paid up])</f>
        <v>Y</v>
      </c>
      <c r="D50" s="39" t="str">
        <f>_xlfn.XLOOKUP(__xlnm._FilterDatabase_159[[#This Row],[SAPSA Number]],Table1[SAPSA number],Table1[Name])</f>
        <v>Wayne Erald</v>
      </c>
      <c r="E50" s="39" t="str">
        <f>_xlfn.XLOOKUP(__xlnm._FilterDatabase_159[[#This Row],[SAPSA Number]],Table1[SAPSA number],Table1[Surname])</f>
        <v>Schmidt</v>
      </c>
      <c r="F50" s="28" t="str">
        <f>_xlfn.XLOOKUP(__xlnm._FilterDatabase_159[[#This Row],[SAPSA Number]],Table1[SAPSA number],Table1[Initials])</f>
        <v>WE</v>
      </c>
      <c r="G50" s="17" t="str">
        <f ca="1">_xlfn.XLOOKUP(__xlnm._FilterDatabase_159[[#This Row],[SAPSA Number]],Table1[SAPSA number],Table1[Gender])</f>
        <v>S</v>
      </c>
      <c r="H50" s="19" t="e">
        <f>_xlfn.XLOOKUP(__xlnm._FilterDatabase_159[[#This Row],[SAPSA Number]],#REF!,#REF!)</f>
        <v>#REF!</v>
      </c>
      <c r="I50" s="19" t="s">
        <v>240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6"/>
        <v>12</v>
      </c>
      <c r="B51" s="25">
        <v>572</v>
      </c>
      <c r="C51" s="25" t="str">
        <f>_xlfn.XLOOKUP(__xlnm._FilterDatabase_159[[#This Row],[SAPSA Number]],Table1[SAPSA number],Table1[Paid up])</f>
        <v>Y</v>
      </c>
      <c r="D51" s="39" t="str">
        <f>_xlfn.XLOOKUP(__xlnm._FilterDatabase_159[[#This Row],[SAPSA Number]],Table1[SAPSA number],Table1[Name])</f>
        <v>DJ</v>
      </c>
      <c r="E51" s="39" t="str">
        <f>_xlfn.XLOOKUP(__xlnm._FilterDatabase_159[[#This Row],[SAPSA Number]],Table1[SAPSA number],Table1[Surname])</f>
        <v>Smith</v>
      </c>
      <c r="F51" s="28" t="str">
        <f>_xlfn.XLOOKUP(__xlnm._FilterDatabase_159[[#This Row],[SAPSA Number]],Table1[SAPSA number],Table1[Initials])</f>
        <v>DJ</v>
      </c>
      <c r="G51" s="17" t="str">
        <f ca="1">_xlfn.XLOOKUP(__xlnm._FilterDatabase_159[[#This Row],[SAPSA Number]],Table1[SAPSA number],Table1[Gender])</f>
        <v>SS</v>
      </c>
      <c r="H51" s="19" t="e">
        <f>_xlfn.XLOOKUP(__xlnm._FilterDatabase_159[[#This Row],[SAPSA Number]],#REF!,#REF!)</f>
        <v>#REF!</v>
      </c>
      <c r="I51" s="19" t="s">
        <v>240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6"/>
        <v>12</v>
      </c>
      <c r="B52" s="25">
        <v>1321</v>
      </c>
      <c r="C52" s="25">
        <f>_xlfn.XLOOKUP(__xlnm._FilterDatabase_159[[#This Row],[SAPSA Number]],Table1[SAPSA number],Table1[Paid up])</f>
        <v>0</v>
      </c>
      <c r="D52" s="39" t="str">
        <f>_xlfn.XLOOKUP(__xlnm._FilterDatabase_159[[#This Row],[SAPSA Number]],Table1[SAPSA number],Table1[Name])</f>
        <v>Neal Monisen</v>
      </c>
      <c r="E52" s="39" t="str">
        <f>_xlfn.XLOOKUP(__xlnm._FilterDatabase_159[[#This Row],[SAPSA Number]],Table1[SAPSA number],Table1[Surname])</f>
        <v>Sokay</v>
      </c>
      <c r="F52" s="28" t="str">
        <f>_xlfn.XLOOKUP(__xlnm._FilterDatabase_159[[#This Row],[SAPSA Number]],Table1[SAPSA number],Table1[Initials])</f>
        <v>NM</v>
      </c>
      <c r="G52" s="17" t="str">
        <f ca="1">_xlfn.XLOOKUP(__xlnm._FilterDatabase_159[[#This Row],[SAPSA Number]],Table1[SAPSA number],Table1[Gender])</f>
        <v>S</v>
      </c>
      <c r="H52" s="19" t="e">
        <f>_xlfn.XLOOKUP(__xlnm._FilterDatabase_159[[#This Row],[SAPSA Number]],#REF!,#REF!)</f>
        <v>#REF!</v>
      </c>
      <c r="I52" s="19" t="s">
        <v>240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6"/>
        <v>12</v>
      </c>
      <c r="B53" s="25">
        <v>3832</v>
      </c>
      <c r="C53" s="25" t="str">
        <f>_xlfn.XLOOKUP(__xlnm._FilterDatabase_159[[#This Row],[SAPSA Number]],Table1[SAPSA number],Table1[Paid up])</f>
        <v>Y</v>
      </c>
      <c r="D53" s="39" t="str">
        <f>_xlfn.XLOOKUP(__xlnm._FilterDatabase_159[[#This Row],[SAPSA Number]],Table1[SAPSA number],Table1[Name])</f>
        <v>Dion Rowlands</v>
      </c>
      <c r="E53" s="39" t="str">
        <f>_xlfn.XLOOKUP(__xlnm._FilterDatabase_159[[#This Row],[SAPSA Number]],Table1[SAPSA number],Table1[Surname])</f>
        <v>Stead</v>
      </c>
      <c r="F53" s="28" t="str">
        <f>_xlfn.XLOOKUP(__xlnm._FilterDatabase_159[[#This Row],[SAPSA Number]],Table1[SAPSA number],Table1[Initials])</f>
        <v>DR</v>
      </c>
      <c r="G53" s="17" t="str">
        <f ca="1">_xlfn.XLOOKUP(__xlnm._FilterDatabase_159[[#This Row],[SAPSA Number]],Table1[SAPSA number],Table1[Gender])</f>
        <v>S</v>
      </c>
      <c r="H53" s="19" t="e">
        <f>_xlfn.XLOOKUP(__xlnm._FilterDatabase_159[[#This Row],[SAPSA Number]],#REF!,#REF!)</f>
        <v>#REF!</v>
      </c>
      <c r="I53" s="19" t="s">
        <v>240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6"/>
        <v>12</v>
      </c>
      <c r="B54" s="25">
        <v>4858</v>
      </c>
      <c r="C54" s="25" t="str">
        <f>_xlfn.XLOOKUP(__xlnm._FilterDatabase_159[[#This Row],[SAPSA Number]],Table1[SAPSA number],Table1[Paid up])</f>
        <v>Y</v>
      </c>
      <c r="D54" s="39" t="str">
        <f>_xlfn.XLOOKUP(__xlnm._FilterDatabase_159[[#This Row],[SAPSA Number]],Table1[SAPSA number],Table1[Name])</f>
        <v>Jacques</v>
      </c>
      <c r="E54" s="39" t="str">
        <f>_xlfn.XLOOKUP(__xlnm._FilterDatabase_159[[#This Row],[SAPSA Number]],Table1[SAPSA number],Table1[Surname])</f>
        <v>Swanepoel</v>
      </c>
      <c r="F54" s="28" t="str">
        <f>_xlfn.XLOOKUP(__xlnm._FilterDatabase_159[[#This Row],[SAPSA Number]],Table1[SAPSA number],Table1[Initials])</f>
        <v>J</v>
      </c>
      <c r="G54" s="17" t="str">
        <f ca="1">_xlfn.XLOOKUP(__xlnm._FilterDatabase_159[[#This Row],[SAPSA Number]],Table1[SAPSA number],Table1[Gender])</f>
        <v xml:space="preserve"> </v>
      </c>
      <c r="H54" s="19" t="e">
        <f>_xlfn.XLOOKUP(__xlnm._FilterDatabase_159[[#This Row],[SAPSA Number]],#REF!,#REF!)</f>
        <v>#REF!</v>
      </c>
      <c r="I54" s="19" t="s">
        <v>240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6"/>
        <v>12</v>
      </c>
      <c r="B55" s="25">
        <v>1113</v>
      </c>
      <c r="C55" s="25" t="str">
        <f>_xlfn.XLOOKUP(__xlnm._FilterDatabase_159[[#This Row],[SAPSA Number]],Table1[SAPSA number],Table1[Paid up])</f>
        <v>Y</v>
      </c>
      <c r="D55" s="39" t="str">
        <f>_xlfn.XLOOKUP(__xlnm._FilterDatabase_159[[#This Row],[SAPSA Number]],Table1[SAPSA number],Table1[Name])</f>
        <v>Frik</v>
      </c>
      <c r="E55" s="39" t="str">
        <f>_xlfn.XLOOKUP(__xlnm._FilterDatabase_159[[#This Row],[SAPSA Number]],Table1[SAPSA number],Table1[Surname])</f>
        <v>Truter</v>
      </c>
      <c r="F55" s="28" t="str">
        <f>_xlfn.XLOOKUP(__xlnm._FilterDatabase_159[[#This Row],[SAPSA Number]],Table1[SAPSA number],Table1[Initials])</f>
        <v>FC</v>
      </c>
      <c r="G55" s="17" t="str">
        <f ca="1">_xlfn.XLOOKUP(__xlnm._FilterDatabase_159[[#This Row],[SAPSA Number]],Table1[SAPSA number],Table1[Gender])</f>
        <v>SS</v>
      </c>
      <c r="H55" s="19" t="e">
        <f>_xlfn.XLOOKUP(__xlnm._FilterDatabase_159[[#This Row],[SAPSA Number]],#REF!,#REF!)</f>
        <v>#REF!</v>
      </c>
      <c r="I55" s="19" t="s">
        <v>240</v>
      </c>
      <c r="J55" s="21">
        <f t="shared" si="4"/>
        <v>1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36.58</v>
      </c>
    </row>
    <row r="56" spans="1:23" ht="14.4" customHeight="1" x14ac:dyDescent="0.3">
      <c r="A56" s="17">
        <f t="shared" si="6"/>
        <v>12</v>
      </c>
      <c r="B56" s="25">
        <v>4672</v>
      </c>
      <c r="C56" s="25" t="str">
        <f>_xlfn.XLOOKUP(__xlnm._FilterDatabase_159[[#This Row],[SAPSA Number]],Table1[SAPSA number],Table1[Paid up])</f>
        <v>Y</v>
      </c>
      <c r="D56" s="39" t="str">
        <f>_xlfn.XLOOKUP(__xlnm._FilterDatabase_159[[#This Row],[SAPSA Number]],Table1[SAPSA number],Table1[Name])</f>
        <v>Frederick John</v>
      </c>
      <c r="E56" s="39" t="str">
        <f>_xlfn.XLOOKUP(__xlnm._FilterDatabase_159[[#This Row],[SAPSA Number]],Table1[SAPSA number],Table1[Surname])</f>
        <v>Turnbull</v>
      </c>
      <c r="F56" s="28" t="str">
        <f>_xlfn.XLOOKUP(__xlnm._FilterDatabase_159[[#This Row],[SAPSA Number]],Table1[SAPSA number],Table1[Initials])</f>
        <v>FJ</v>
      </c>
      <c r="G56" s="17" t="str">
        <f ca="1">_xlfn.XLOOKUP(__xlnm._FilterDatabase_159[[#This Row],[SAPSA Number]],Table1[SAPSA number],Table1[Gender])</f>
        <v>SS</v>
      </c>
      <c r="H56" s="19" t="e">
        <f>_xlfn.XLOOKUP(__xlnm._FilterDatabase_159[[#This Row],[SAPSA Number]],#REF!,#REF!)</f>
        <v>#REF!</v>
      </c>
      <c r="I56" s="19" t="s">
        <v>240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6"/>
        <v>12</v>
      </c>
      <c r="B57" s="25">
        <v>1931</v>
      </c>
      <c r="C57" s="25">
        <f>_xlfn.XLOOKUP(__xlnm._FilterDatabase_159[[#This Row],[SAPSA Number]],Table1[SAPSA number],Table1[Paid up])</f>
        <v>0</v>
      </c>
      <c r="D57" s="39" t="str">
        <f>_xlfn.XLOOKUP(__xlnm._FilterDatabase_159[[#This Row],[SAPSA Number]],Table1[SAPSA number],Table1[Name])</f>
        <v>Sylvia</v>
      </c>
      <c r="E57" s="39" t="str">
        <f>_xlfn.XLOOKUP(__xlnm._FilterDatabase_159[[#This Row],[SAPSA Number]],Table1[SAPSA number],Table1[Surname])</f>
        <v>Van der Neut</v>
      </c>
      <c r="F57" s="28" t="str">
        <f>_xlfn.XLOOKUP(__xlnm._FilterDatabase_159[[#This Row],[SAPSA Number]],Table1[SAPSA number],Table1[Initials])</f>
        <v>S</v>
      </c>
      <c r="G57" s="17" t="str">
        <f>_xlfn.XLOOKUP(__xlnm._FilterDatabase_159[[#This Row],[SAPSA Number]],Table1[SAPSA number],Table1[Gender])</f>
        <v>Lady</v>
      </c>
      <c r="H57" s="19" t="e">
        <f>_xlfn.XLOOKUP(__xlnm._FilterDatabase_159[[#This Row],[SAPSA Number]],#REF!,#REF!)</f>
        <v>#REF!</v>
      </c>
      <c r="I57" s="19" t="s">
        <v>240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6"/>
        <v>12</v>
      </c>
      <c r="B58" s="25">
        <v>5616</v>
      </c>
      <c r="C58" s="25">
        <f>_xlfn.XLOOKUP(__xlnm._FilterDatabase_159[[#This Row],[SAPSA Number]],Table1[SAPSA number],Table1[Paid up])</f>
        <v>0</v>
      </c>
      <c r="D58" s="39" t="str">
        <f>_xlfn.XLOOKUP(__xlnm._FilterDatabase_159[[#This Row],[SAPSA Number]],Table1[SAPSA number],Table1[Name])</f>
        <v>Cornelis Herman</v>
      </c>
      <c r="E58" s="39" t="str">
        <f>_xlfn.XLOOKUP(__xlnm._FilterDatabase_159[[#This Row],[SAPSA Number]],Table1[SAPSA number],Table1[Surname])</f>
        <v>van Driel</v>
      </c>
      <c r="F58" s="28" t="str">
        <f>_xlfn.XLOOKUP(__xlnm._FilterDatabase_159[[#This Row],[SAPSA Number]],Table1[SAPSA number],Table1[Initials])</f>
        <v>CH</v>
      </c>
      <c r="G58" s="17" t="str">
        <f ca="1">_xlfn.XLOOKUP(__xlnm._FilterDatabase_159[[#This Row],[SAPSA Number]],Table1[SAPSA number],Table1[Gender])</f>
        <v xml:space="preserve"> </v>
      </c>
      <c r="H58" s="19" t="e">
        <f>_xlfn.XLOOKUP(__xlnm._FilterDatabase_159[[#This Row],[SAPSA Number]],#REF!,#REF!)</f>
        <v>#REF!</v>
      </c>
      <c r="I58" s="19" t="s">
        <v>240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6"/>
        <v>12</v>
      </c>
      <c r="B59" s="40">
        <v>6564</v>
      </c>
      <c r="C59" s="25" t="str">
        <f>_xlfn.XLOOKUP(__xlnm._FilterDatabase_159[[#This Row],[SAPSA Number]],Table1[SAPSA number],Table1[Paid up])</f>
        <v>Y</v>
      </c>
      <c r="D59" s="39" t="str">
        <f>_xlfn.XLOOKUP(__xlnm._FilterDatabase_159[[#This Row],[SAPSA Number]],Table1[SAPSA number],Table1[Name])</f>
        <v>Kwimton Schalk</v>
      </c>
      <c r="E59" s="39" t="str">
        <f>_xlfn.XLOOKUP(__xlnm._FilterDatabase_159[[#This Row],[SAPSA Number]],Table1[SAPSA number],Table1[Surname])</f>
        <v>van Jaarsveld</v>
      </c>
      <c r="F59" s="28" t="str">
        <f>_xlfn.XLOOKUP(__xlnm._FilterDatabase_159[[#This Row],[SAPSA Number]],Table1[SAPSA number],Table1[Initials])</f>
        <v>KS</v>
      </c>
      <c r="G59" s="17" t="str">
        <f ca="1">_xlfn.XLOOKUP(__xlnm._FilterDatabase_159[[#This Row],[SAPSA Number]],Table1[SAPSA number],Table1[Gender])</f>
        <v xml:space="preserve"> </v>
      </c>
      <c r="H59" s="19" t="e">
        <f>_xlfn.XLOOKUP(__xlnm._FilterDatabase_159[[#This Row],[SAPSA Number]],#REF!,#REF!)</f>
        <v>#REF!</v>
      </c>
      <c r="I59" s="19" t="s">
        <v>240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6"/>
        <v>12</v>
      </c>
      <c r="B60" s="25">
        <v>5262</v>
      </c>
      <c r="C60" s="25" t="str">
        <f>_xlfn.XLOOKUP(__xlnm._FilterDatabase_159[[#This Row],[SAPSA Number]],Table1[SAPSA number],Table1[Paid up])</f>
        <v>Y</v>
      </c>
      <c r="D60" s="39" t="str">
        <f>_xlfn.XLOOKUP(__xlnm._FilterDatabase_159[[#This Row],[SAPSA Number]],Table1[SAPSA number],Table1[Name])</f>
        <v>Andre</v>
      </c>
      <c r="E60" s="39" t="str">
        <f>_xlfn.XLOOKUP(__xlnm._FilterDatabase_159[[#This Row],[SAPSA Number]],Table1[SAPSA number],Table1[Surname])</f>
        <v>van Rooyen</v>
      </c>
      <c r="F60" s="28" t="str">
        <f>_xlfn.XLOOKUP(__xlnm._FilterDatabase_159[[#This Row],[SAPSA Number]],Table1[SAPSA number],Table1[Initials])</f>
        <v>A</v>
      </c>
      <c r="G60" s="17" t="str">
        <f ca="1">_xlfn.XLOOKUP(__xlnm._FilterDatabase_159[[#This Row],[SAPSA Number]],Table1[SAPSA number],Table1[Gender])</f>
        <v xml:space="preserve"> </v>
      </c>
      <c r="H60" s="19" t="e">
        <f>_xlfn.XLOOKUP(__xlnm._FilterDatabase_159[[#This Row],[SAPSA Number]],#REF!,#REF!)</f>
        <v>#REF!</v>
      </c>
      <c r="I60" s="19" t="s">
        <v>240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6"/>
        <v>12</v>
      </c>
      <c r="B61" s="25">
        <v>5971</v>
      </c>
      <c r="C61" s="25">
        <f>_xlfn.XLOOKUP(__xlnm._FilterDatabase_159[[#This Row],[SAPSA Number]],Table1[SAPSA number],Table1[Paid up])</f>
        <v>0</v>
      </c>
      <c r="D61" s="39" t="str">
        <f>_xlfn.XLOOKUP(__xlnm._FilterDatabase_159[[#This Row],[SAPSA Number]],Table1[SAPSA number],Table1[Name])</f>
        <v>Hendrik</v>
      </c>
      <c r="E61" s="39" t="str">
        <f>_xlfn.XLOOKUP(__xlnm._FilterDatabase_159[[#This Row],[SAPSA Number]],Table1[SAPSA number],Table1[Surname])</f>
        <v>van Rooyen</v>
      </c>
      <c r="F61" s="28" t="str">
        <f>_xlfn.XLOOKUP(__xlnm._FilterDatabase_159[[#This Row],[SAPSA Number]],Table1[SAPSA number],Table1[Initials])</f>
        <v>H</v>
      </c>
      <c r="G61" s="17" t="str">
        <f ca="1">_xlfn.XLOOKUP(__xlnm._FilterDatabase_159[[#This Row],[SAPSA Number]],Table1[SAPSA number],Table1[Gender])</f>
        <v>S</v>
      </c>
      <c r="H61" s="19" t="e">
        <f>_xlfn.XLOOKUP(__xlnm._FilterDatabase_159[[#This Row],[SAPSA Number]],#REF!,#REF!)</f>
        <v>#REF!</v>
      </c>
      <c r="I61" s="19" t="s">
        <v>240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6"/>
        <v>12</v>
      </c>
      <c r="B62" s="25">
        <v>2051</v>
      </c>
      <c r="C62" s="25" t="str">
        <f>_xlfn.XLOOKUP(__xlnm._FilterDatabase_159[[#This Row],[SAPSA Number]],Table1[SAPSA number],Table1[Paid up])</f>
        <v>Y</v>
      </c>
      <c r="D62" s="39" t="str">
        <f>_xlfn.XLOOKUP(__xlnm._FilterDatabase_159[[#This Row],[SAPSA Number]],Table1[SAPSA number],Table1[Name])</f>
        <v>Simon Adriaan</v>
      </c>
      <c r="E62" s="39" t="str">
        <f>_xlfn.XLOOKUP(__xlnm._FilterDatabase_159[[#This Row],[SAPSA Number]],Table1[SAPSA number],Table1[Surname])</f>
        <v>Vermooten</v>
      </c>
      <c r="F62" s="28" t="str">
        <f>_xlfn.XLOOKUP(__xlnm._FilterDatabase_159[[#This Row],[SAPSA Number]],Table1[SAPSA number],Table1[Initials])</f>
        <v>SA</v>
      </c>
      <c r="G62" s="17" t="str">
        <f ca="1">_xlfn.XLOOKUP(__xlnm._FilterDatabase_159[[#This Row],[SAPSA Number]],Table1[SAPSA number],Table1[Gender])</f>
        <v>GS</v>
      </c>
      <c r="H62" s="19" t="e">
        <f>_xlfn.XLOOKUP(__xlnm._FilterDatabase_159[[#This Row],[SAPSA Number]],#REF!,#REF!)</f>
        <v>#REF!</v>
      </c>
      <c r="I62" s="19" t="s">
        <v>240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6"/>
        <v>12</v>
      </c>
      <c r="B63" s="26">
        <v>2089</v>
      </c>
      <c r="C63" s="25" t="str">
        <f>_xlfn.XLOOKUP(__xlnm._FilterDatabase_159[[#This Row],[SAPSA Number]],Table1[SAPSA number],Table1[Paid up])</f>
        <v>Y</v>
      </c>
      <c r="D63" s="39" t="str">
        <f>_xlfn.XLOOKUP(__xlnm._FilterDatabase_159[[#This Row],[SAPSA Number]],Table1[SAPSA number],Table1[Name])</f>
        <v>Doané</v>
      </c>
      <c r="E63" s="39" t="str">
        <f>_xlfn.XLOOKUP(__xlnm._FilterDatabase_159[[#This Row],[SAPSA Number]],Table1[SAPSA number],Table1[Surname])</f>
        <v>Vermooten</v>
      </c>
      <c r="F63" s="28" t="str">
        <f>_xlfn.XLOOKUP(__xlnm._FilterDatabase_159[[#This Row],[SAPSA Number]],Table1[SAPSA number],Table1[Initials])</f>
        <v>D</v>
      </c>
      <c r="G63" s="17" t="str">
        <f ca="1">_xlfn.XLOOKUP(__xlnm._FilterDatabase_159[[#This Row],[SAPSA Number]],Table1[SAPSA number],Table1[Gender])</f>
        <v xml:space="preserve"> </v>
      </c>
      <c r="H63" s="19" t="e">
        <f>_xlfn.XLOOKUP(__xlnm._FilterDatabase_159[[#This Row],[SAPSA Number]],#REF!,#REF!)</f>
        <v>#REF!</v>
      </c>
      <c r="I63" s="19" t="s">
        <v>240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 t="shared" si="6"/>
        <v>12</v>
      </c>
      <c r="B64" s="27">
        <v>896</v>
      </c>
      <c r="C64" s="100" t="str">
        <f>_xlfn.XLOOKUP(__xlnm._FilterDatabase_159[[#This Row],[SAPSA Number]],Table1[SAPSA number],Table1[Paid up])</f>
        <v>Y</v>
      </c>
      <c r="D64" s="39" t="str">
        <f>_xlfn.XLOOKUP(__xlnm._FilterDatabase_159[[#This Row],[SAPSA Number]],Table1[SAPSA number],Table1[Name])</f>
        <v>Johannes Francois</v>
      </c>
      <c r="E64" s="39" t="str">
        <f>_xlfn.XLOOKUP(__xlnm._FilterDatabase_159[[#This Row],[SAPSA Number]],Table1[SAPSA number],Table1[Surname])</f>
        <v>Wheeler</v>
      </c>
      <c r="F64" s="28" t="str">
        <f>_xlfn.XLOOKUP(__xlnm._FilterDatabase_159[[#This Row],[SAPSA Number]],Table1[SAPSA number],Table1[Initials])</f>
        <v>JF</v>
      </c>
      <c r="G64" s="17" t="str">
        <f ca="1">_xlfn.XLOOKUP(__xlnm._FilterDatabase_159[[#This Row],[SAPSA Number]],Table1[SAPSA number],Table1[Gender])</f>
        <v xml:space="preserve"> </v>
      </c>
      <c r="H64" s="19" t="e">
        <f>_xlfn.XLOOKUP(__xlnm._FilterDatabase_159[[#This Row],[SAPSA Number]],#REF!,#REF!)</f>
        <v>#REF!</v>
      </c>
      <c r="I64" s="19" t="s">
        <v>240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 t="shared" si="6"/>
        <v>12</v>
      </c>
      <c r="B65" s="26">
        <v>1716</v>
      </c>
      <c r="C65" s="26" t="str">
        <f>_xlfn.XLOOKUP(__xlnm._FilterDatabase_159[[#This Row],[SAPSA Number]],Table1[SAPSA number],Table1[Paid up])</f>
        <v>Y</v>
      </c>
      <c r="D65" s="39" t="str">
        <f>_xlfn.XLOOKUP(__xlnm._FilterDatabase_159[[#This Row],[SAPSA Number]],Table1[SAPSA number],Table1[Name])</f>
        <v>Albert</v>
      </c>
      <c r="E65" s="39" t="str">
        <f>_xlfn.XLOOKUP(__xlnm._FilterDatabase_159[[#This Row],[SAPSA Number]],Table1[SAPSA number],Table1[Surname])</f>
        <v>Wöcke</v>
      </c>
      <c r="F65" s="28" t="str">
        <f>_xlfn.XLOOKUP(__xlnm._FilterDatabase_159[[#This Row],[SAPSA Number]],Table1[SAPSA number],Table1[Initials])</f>
        <v>A</v>
      </c>
      <c r="G65" s="17" t="str">
        <f ca="1">_xlfn.XLOOKUP(__xlnm._FilterDatabase_159[[#This Row],[SAPSA Number]],Table1[SAPSA number],Table1[Gender])</f>
        <v>S</v>
      </c>
      <c r="H65" s="19" t="e">
        <f>_xlfn.XLOOKUP(__xlnm._FilterDatabase_159[[#This Row],[SAPSA Number]],#REF!,#REF!)</f>
        <v>#REF!</v>
      </c>
      <c r="I65" s="19" t="s">
        <v>240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 t="shared" si="6"/>
        <v>12</v>
      </c>
      <c r="B66" s="39">
        <v>206</v>
      </c>
      <c r="C66" s="26">
        <f>_xlfn.XLOOKUP(__xlnm._FilterDatabase_159[[#This Row],[SAPSA Number]],Table1[SAPSA number],Table1[Paid up])</f>
        <v>0</v>
      </c>
      <c r="D66" s="39" t="str">
        <f>_xlfn.XLOOKUP(__xlnm._FilterDatabase_159[[#This Row],[SAPSA Number]],Table1[SAPSA number],Table1[Name])</f>
        <v>Pierre Dewald</v>
      </c>
      <c r="E66" s="39" t="str">
        <f>_xlfn.XLOOKUP(__xlnm._FilterDatabase_159[[#This Row],[SAPSA Number]],Table1[SAPSA number],Table1[Surname])</f>
        <v>Wrogemann</v>
      </c>
      <c r="F66" s="28" t="str">
        <f>_xlfn.XLOOKUP(__xlnm._FilterDatabase_159[[#This Row],[SAPSA Number]],Table1[SAPSA number],Table1[Initials])</f>
        <v>PD</v>
      </c>
      <c r="G66" s="17" t="str">
        <f ca="1">_xlfn.XLOOKUP(__xlnm._FilterDatabase_159[[#This Row],[SAPSA Number]],Table1[SAPSA number],Table1[Gender])</f>
        <v>S</v>
      </c>
      <c r="H66" s="19" t="e">
        <f>_xlfn.XLOOKUP(__xlnm._FilterDatabase_159[[#This Row],[SAPSA Number]],#REF!,#REF!)</f>
        <v>#REF!</v>
      </c>
      <c r="I66" s="19" t="s">
        <v>240</v>
      </c>
      <c r="J66" s="21">
        <f t="shared" si="4"/>
        <v>0</v>
      </c>
      <c r="K66" s="22">
        <f t="shared" ref="K66:K70" si="7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>
        <f t="shared" si="6"/>
        <v>12</v>
      </c>
      <c r="B67" s="26">
        <v>3810</v>
      </c>
      <c r="C67" s="26"/>
      <c r="D67" s="39" t="str">
        <f>_xlfn.XLOOKUP(__xlnm._FilterDatabase_159[[#This Row],[SAPSA Number]],Table1[SAPSA number],Table1[Name])</f>
        <v>Roelof</v>
      </c>
      <c r="E67" s="39" t="str">
        <f>_xlfn.XLOOKUP(__xlnm._FilterDatabase_159[[#This Row],[SAPSA Number]],Table1[SAPSA number],Table1[Surname])</f>
        <v>Liebenberg</v>
      </c>
      <c r="F67" s="28" t="str">
        <f>_xlfn.XLOOKUP(__xlnm._FilterDatabase_159[[#This Row],[SAPSA Number]],Table1[SAPSA number],Table1[Initials])</f>
        <v>R</v>
      </c>
      <c r="G67" s="17" t="str">
        <f ca="1">_xlfn.XLOOKUP(__xlnm._FilterDatabase_159[[#This Row],[SAPSA Number]],Table1[SAPSA number],Table1[Gender])</f>
        <v>S</v>
      </c>
      <c r="H67" s="19" t="e">
        <f>_xlfn.XLOOKUP(__xlnm._FilterDatabase_159[[#This Row],[SAPSA Number]],#REF!,#REF!)</f>
        <v>#REF!</v>
      </c>
      <c r="I67" s="19" t="s">
        <v>240</v>
      </c>
      <c r="J67" s="21">
        <f t="shared" si="4"/>
        <v>0</v>
      </c>
      <c r="K67" s="22">
        <f t="shared" si="7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>
        <f t="shared" si="6"/>
        <v>12</v>
      </c>
      <c r="B68" s="26">
        <v>401</v>
      </c>
      <c r="C68" s="26"/>
      <c r="D68" s="39" t="str">
        <f>_xlfn.XLOOKUP(__xlnm._FilterDatabase_159[[#This Row],[SAPSA Number]],Table1[SAPSA number],Table1[Name])</f>
        <v>Sebella</v>
      </c>
      <c r="E68" s="39" t="str">
        <f>_xlfn.XLOOKUP(__xlnm._FilterDatabase_159[[#This Row],[SAPSA Number]],Table1[SAPSA number],Table1[Surname])</f>
        <v>O'Donovan</v>
      </c>
      <c r="F68" s="28" t="str">
        <f>_xlfn.XLOOKUP(__xlnm._FilterDatabase_159[[#This Row],[SAPSA Number]],Table1[SAPSA number],Table1[Initials])</f>
        <v>S</v>
      </c>
      <c r="G68" s="17" t="str">
        <f>_xlfn.XLOOKUP(__xlnm._FilterDatabase_159[[#This Row],[SAPSA Number]],Table1[SAPSA number],Table1[Gender])</f>
        <v>Lady</v>
      </c>
      <c r="H68" s="19" t="e">
        <f>_xlfn.XLOOKUP(__xlnm._FilterDatabase_159[[#This Row],[SAPSA Number]],#REF!,#REF!)</f>
        <v>#REF!</v>
      </c>
      <c r="I68" s="19" t="s">
        <v>240</v>
      </c>
      <c r="J68" s="21">
        <f t="shared" si="4"/>
        <v>0</v>
      </c>
      <c r="K68" s="22">
        <f t="shared" si="7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>
        <f t="shared" si="6"/>
        <v>12</v>
      </c>
      <c r="B69" s="26">
        <v>1547</v>
      </c>
      <c r="C69" s="26"/>
      <c r="D69" s="39" t="str">
        <f>_xlfn.XLOOKUP(__xlnm._FilterDatabase_159[[#This Row],[SAPSA Number]],Table1[SAPSA number],Table1[Name])</f>
        <v>Marius Frans</v>
      </c>
      <c r="E69" s="39" t="str">
        <f>_xlfn.XLOOKUP(__xlnm._FilterDatabase_159[[#This Row],[SAPSA Number]],Table1[SAPSA number],Table1[Surname])</f>
        <v>van Biljon</v>
      </c>
      <c r="F69" s="28" t="str">
        <f>_xlfn.XLOOKUP(__xlnm._FilterDatabase_159[[#This Row],[SAPSA Number]],Table1[SAPSA number],Table1[Initials])</f>
        <v>MF</v>
      </c>
      <c r="G69" s="17" t="str">
        <f ca="1">_xlfn.XLOOKUP(__xlnm._FilterDatabase_159[[#This Row],[SAPSA Number]],Table1[SAPSA number],Table1[Gender])</f>
        <v>S</v>
      </c>
      <c r="H69" s="19" t="e">
        <f>_xlfn.XLOOKUP(__xlnm._FilterDatabase_159[[#This Row],[SAPSA Number]],#REF!,#REF!)</f>
        <v>#REF!</v>
      </c>
      <c r="I69" s="19" t="s">
        <v>240</v>
      </c>
      <c r="J69" s="21">
        <f t="shared" si="4"/>
        <v>0</v>
      </c>
      <c r="K69" s="22">
        <f t="shared" si="7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si="6"/>
        <v>12</v>
      </c>
      <c r="B70" s="26">
        <v>3837</v>
      </c>
      <c r="C70" s="26"/>
      <c r="D70" s="39" t="str">
        <f>_xlfn.XLOOKUP(__xlnm._FilterDatabase_159[[#This Row],[SAPSA Number]],Table1[SAPSA number],Table1[Name])</f>
        <v>Daneel</v>
      </c>
      <c r="E70" s="39" t="str">
        <f>_xlfn.XLOOKUP(__xlnm._FilterDatabase_159[[#This Row],[SAPSA Number]],Table1[SAPSA number],Table1[Surname])</f>
        <v>van eck</v>
      </c>
      <c r="F70" s="28" t="str">
        <f>_xlfn.XLOOKUP(__xlnm._FilterDatabase_159[[#This Row],[SAPSA Number]],Table1[SAPSA number],Table1[Initials])</f>
        <v>DJ</v>
      </c>
      <c r="G70" s="17" t="str">
        <f ca="1">_xlfn.XLOOKUP(__xlnm._FilterDatabase_159[[#This Row],[SAPSA Number]],Table1[SAPSA number],Table1[Gender])</f>
        <v xml:space="preserve"> </v>
      </c>
      <c r="H70" s="19" t="e">
        <f>_xlfn.XLOOKUP(__xlnm._FilterDatabase_159[[#This Row],[SAPSA Number]],#REF!,#REF!)</f>
        <v>#REF!</v>
      </c>
      <c r="I70" s="19" t="s">
        <v>240</v>
      </c>
      <c r="J70" s="21">
        <f t="shared" si="4"/>
        <v>0</v>
      </c>
      <c r="K70" s="22">
        <f t="shared" si="7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6"/>
      <c r="D71" s="39"/>
      <c r="E71" s="39"/>
      <c r="F71" s="28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x14ac:dyDescent="0.3">
      <c r="A72" s="17"/>
      <c r="B72" s="26"/>
      <c r="C72" s="26"/>
      <c r="D72" s="39"/>
      <c r="E72" s="39"/>
      <c r="F72" s="28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17"/>
      <c r="B73" s="27"/>
      <c r="C73" s="101"/>
      <c r="D73" s="39"/>
      <c r="E73" s="39"/>
      <c r="F73" s="28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17"/>
      <c r="B74" s="140"/>
      <c r="C74" s="147"/>
      <c r="D74" s="39"/>
      <c r="E74" s="39"/>
      <c r="F74" s="28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17"/>
      <c r="B75" s="26"/>
      <c r="C75" s="26"/>
      <c r="D75" s="39"/>
      <c r="E75" s="39"/>
      <c r="F75" s="28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17"/>
      <c r="B76" s="25"/>
      <c r="C76" s="25"/>
      <c r="D76" s="39"/>
      <c r="E76" s="39"/>
      <c r="F76" s="28"/>
      <c r="G76" s="17"/>
      <c r="H76" s="19"/>
      <c r="I76" s="19"/>
      <c r="J76" s="21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x14ac:dyDescent="0.3">
      <c r="A77" s="17"/>
      <c r="B77" s="30"/>
      <c r="C77" s="30"/>
      <c r="D77" s="39"/>
      <c r="E77" s="39"/>
      <c r="F77" s="28"/>
      <c r="G77" s="17"/>
      <c r="H77" s="19"/>
      <c r="I77" s="19"/>
      <c r="J77" s="21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x14ac:dyDescent="0.3">
      <c r="A78" s="17"/>
      <c r="B78" s="26"/>
      <c r="C78" s="26"/>
      <c r="D78" s="39"/>
      <c r="E78" s="39"/>
      <c r="F78" s="28"/>
      <c r="G78" s="17"/>
      <c r="H78" s="19"/>
      <c r="I78" s="19"/>
      <c r="J78" s="21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x14ac:dyDescent="0.3">
      <c r="A79" s="17"/>
      <c r="B79" s="26"/>
      <c r="C79" s="26"/>
      <c r="D79" s="39"/>
      <c r="E79" s="39"/>
      <c r="F79" s="28"/>
      <c r="G79" s="17"/>
      <c r="H79" s="19"/>
      <c r="I79" s="19"/>
      <c r="J79" s="21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31"/>
      <c r="B80" s="32"/>
      <c r="C80" s="99"/>
      <c r="D80" s="39"/>
      <c r="E80" s="39"/>
      <c r="F80" s="28"/>
      <c r="G80" s="17"/>
      <c r="H80" s="19"/>
      <c r="I80" s="19"/>
      <c r="J80" s="34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x14ac:dyDescent="0.3">
      <c r="A81" s="31"/>
      <c r="B81" s="32"/>
      <c r="C81" s="99"/>
      <c r="D81" s="39"/>
      <c r="E81" s="39"/>
      <c r="F81" s="28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31"/>
      <c r="B82" s="32"/>
      <c r="C82" s="99"/>
      <c r="D82" s="39"/>
      <c r="E82" s="39"/>
      <c r="F82" s="28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31"/>
      <c r="B83" s="41"/>
      <c r="C83" s="99"/>
      <c r="D83" s="39"/>
      <c r="E83" s="39"/>
      <c r="F83" s="28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31"/>
      <c r="B84" s="41"/>
      <c r="C84" s="99"/>
      <c r="D84" s="39"/>
      <c r="E84" s="39"/>
      <c r="F84" s="28"/>
      <c r="G84" s="17"/>
      <c r="H84" s="19"/>
      <c r="I84" s="19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35"/>
      <c r="B85" s="32"/>
      <c r="C85" s="99"/>
      <c r="D85" s="39"/>
      <c r="E85" s="39"/>
      <c r="F85" s="28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35"/>
      <c r="B86" s="36"/>
      <c r="C86" s="99"/>
      <c r="D86" s="39"/>
      <c r="E86" s="39"/>
      <c r="F86" s="28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35"/>
      <c r="B87" s="32"/>
      <c r="C87" s="99"/>
      <c r="D87" s="39"/>
      <c r="E87" s="39"/>
      <c r="F87" s="28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35"/>
      <c r="B88" s="32"/>
      <c r="C88" s="99"/>
      <c r="D88" s="39"/>
      <c r="E88" s="39"/>
      <c r="F88" s="28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5"/>
      <c r="B89" s="32"/>
      <c r="C89" s="99"/>
      <c r="D89" s="39"/>
      <c r="E89" s="39"/>
      <c r="F89" s="28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5"/>
      <c r="B90" s="32"/>
      <c r="C90" s="99"/>
      <c r="D90" s="39"/>
      <c r="E90" s="39"/>
      <c r="F90" s="28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5"/>
      <c r="B91" s="32"/>
      <c r="C91" s="99"/>
      <c r="D91" s="39"/>
      <c r="E91" s="39"/>
      <c r="F91" s="28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5"/>
      <c r="B92" s="32"/>
      <c r="C92" s="99"/>
      <c r="D92" s="39"/>
      <c r="E92" s="39"/>
      <c r="F92" s="28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35"/>
      <c r="B93" s="41"/>
      <c r="C93" s="99"/>
      <c r="D93" s="39"/>
      <c r="E93" s="39"/>
      <c r="F93" s="28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1"/>
      <c r="B94" s="32"/>
      <c r="C94" s="99"/>
      <c r="D94" s="39"/>
      <c r="E94" s="39"/>
      <c r="F94" s="28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1"/>
      <c r="B95" s="32"/>
      <c r="C95" s="99"/>
      <c r="D95" s="39"/>
      <c r="E95" s="39"/>
      <c r="F95" s="28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5"/>
      <c r="B96" s="36"/>
      <c r="C96" s="99"/>
      <c r="D96" s="39"/>
      <c r="E96" s="39"/>
      <c r="F96" s="28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5"/>
      <c r="B97" s="36"/>
      <c r="C97" s="99"/>
      <c r="D97" s="39"/>
      <c r="E97" s="39"/>
      <c r="F97" s="28"/>
      <c r="G97" s="17"/>
      <c r="H97" s="19"/>
      <c r="I97" s="29"/>
      <c r="J97" s="52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1"/>
      <c r="B98" s="32"/>
      <c r="C98" s="99"/>
      <c r="D98" s="39"/>
      <c r="E98" s="39"/>
      <c r="F98" s="28"/>
      <c r="G98" s="17"/>
      <c r="H98" s="19"/>
      <c r="I98" s="33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1"/>
      <c r="B99" s="32"/>
      <c r="C99" s="99"/>
      <c r="D99" s="39"/>
      <c r="E99" s="39"/>
      <c r="F99" s="28"/>
      <c r="G99" s="17"/>
      <c r="H99" s="19"/>
      <c r="I99" s="33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31"/>
      <c r="B100" s="43"/>
      <c r="C100" s="102"/>
      <c r="D100" s="39"/>
      <c r="E100" s="39"/>
      <c r="F100" s="28"/>
      <c r="G100" s="17"/>
      <c r="H100" s="19"/>
      <c r="I100" s="33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31"/>
      <c r="B101" s="32"/>
      <c r="C101" s="99"/>
      <c r="D101" s="39"/>
      <c r="E101" s="39"/>
      <c r="F101" s="28"/>
      <c r="G101" s="17"/>
      <c r="H101" s="19"/>
      <c r="I101" s="33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1"/>
      <c r="B102" s="32"/>
      <c r="C102" s="99"/>
      <c r="D102" s="39"/>
      <c r="E102" s="39"/>
      <c r="F102" s="28"/>
      <c r="G102" s="17"/>
      <c r="H102" s="19"/>
      <c r="I102" s="33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31"/>
      <c r="B103" s="32"/>
      <c r="C103" s="99"/>
      <c r="D103" s="39"/>
      <c r="E103" s="39"/>
      <c r="F103" s="28"/>
      <c r="G103" s="17"/>
      <c r="H103" s="19"/>
      <c r="I103" s="33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32"/>
      <c r="C104" s="99"/>
      <c r="D104" s="39"/>
      <c r="E104" s="39"/>
      <c r="F104" s="28"/>
      <c r="G104" s="17"/>
      <c r="H104" s="19"/>
      <c r="I104" s="33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x14ac:dyDescent="0.3">
      <c r="A105" s="31"/>
      <c r="B105" s="41"/>
      <c r="C105" s="99"/>
      <c r="D105" s="39"/>
      <c r="E105" s="39"/>
      <c r="F105" s="28"/>
      <c r="G105" s="17"/>
      <c r="H105" s="19"/>
      <c r="I105" s="33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x14ac:dyDescent="0.3">
      <c r="A106" s="31"/>
      <c r="B106" s="43"/>
      <c r="C106" s="102"/>
      <c r="D106" s="39"/>
      <c r="E106" s="39"/>
      <c r="F106" s="28"/>
      <c r="G106" s="17"/>
      <c r="H106" s="19"/>
      <c r="I106" s="33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31"/>
      <c r="B107" s="32"/>
      <c r="C107" s="99"/>
      <c r="D107" s="39"/>
      <c r="E107" s="39"/>
      <c r="F107" s="28"/>
      <c r="G107" s="17"/>
      <c r="H107" s="19"/>
      <c r="I107" s="33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x14ac:dyDescent="0.3">
      <c r="A108" s="31"/>
      <c r="B108" s="32"/>
      <c r="C108" s="99"/>
      <c r="D108" s="39"/>
      <c r="E108" s="39"/>
      <c r="F108" s="28"/>
      <c r="G108" s="17"/>
      <c r="H108" s="19"/>
      <c r="I108" s="33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31"/>
      <c r="B109" s="32"/>
      <c r="C109" s="99"/>
      <c r="D109" s="3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99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43"/>
      <c r="C111" s="102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3"/>
      <c r="C112" s="102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43"/>
      <c r="C113" s="102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32"/>
      <c r="C114" s="99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99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99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43"/>
      <c r="C117" s="102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99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99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"/>
      <c r="C120" s="123"/>
      <c r="D120" s="3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43"/>
      <c r="C121" s="102"/>
      <c r="D121" s="3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43"/>
      <c r="C122" s="102"/>
      <c r="D122" s="3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43"/>
      <c r="C123" s="102"/>
      <c r="D123" s="3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43"/>
      <c r="C124" s="102"/>
      <c r="D124" s="3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C125" s="102">
        <f>_xlfn.XLOOKUP(__xlnm._FilterDatabase_159[[#This Row],[SAPSA Number]],Table1[SAPSA number],Table1[Paid up])</f>
        <v>0</v>
      </c>
      <c r="F125" s="59"/>
      <c r="G125" s="37"/>
      <c r="H125" s="60" t="e">
        <f>_xlfn.XLOOKUP(__xlnm._FilterDatabase_159[[#This Row],[SAPSA Number]],#REF!,#REF!)</f>
        <v>#REF!</v>
      </c>
    </row>
  </sheetData>
  <conditionalFormatting sqref="G2:G125">
    <cfRule type="cellIs" dxfId="7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4B80-70B2-4547-822C-6B821EB08050}">
  <sheetPr codeName="Sheet10">
    <tabColor rgb="FF92D050"/>
  </sheetPr>
  <dimension ref="A1:AMJ136"/>
  <sheetViews>
    <sheetView zoomScale="80" zoomScaleNormal="8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U3" sqref="U3"/>
    </sheetView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8.109375" style="16" customWidth="1"/>
    <col min="7" max="7" width="7.33203125" style="16" customWidth="1"/>
    <col min="8" max="8" width="6.6640625" style="16" hidden="1" customWidth="1"/>
    <col min="9" max="9" width="9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7" si="0">RANK(K2,K$2:K$149,0)</f>
        <v>1</v>
      </c>
      <c r="B2" s="40">
        <v>6846</v>
      </c>
      <c r="C2" s="25">
        <f>_xlfn.XLOOKUP(__xlnm._FilterDatabase_1510[[#This Row],[SAPSA Number]],Table1[SAPSA number],Table1[Paid up])</f>
        <v>0</v>
      </c>
      <c r="D2" s="39" t="str">
        <f>_xlfn.XLOOKUP(__xlnm._FilterDatabase_1510[[#This Row],[SAPSA Number]],Table1[SAPSA number],Table1[Name])</f>
        <v>Daniel Stephanus Jacobus</v>
      </c>
      <c r="E2" s="39" t="str">
        <f>_xlfn.XLOOKUP(__xlnm._FilterDatabase_1510[[#This Row],[SAPSA Number]],Table1[SAPSA number],Table1[Surname])</f>
        <v>Dreyer</v>
      </c>
      <c r="F2" s="20" t="str">
        <f>_xlfn.XLOOKUP(__xlnm._FilterDatabase_1510[[#This Row],[SAPSA Number]],Table1[SAPSA number],Table1[Initials])</f>
        <v>DSJ</v>
      </c>
      <c r="G2" s="17" t="str">
        <f ca="1">_xlfn.XLOOKUP(__xlnm._FilterDatabase_1510[[#This Row],[SAPSA Number]],Table1[SAPSA number],Table1[Gender])</f>
        <v xml:space="preserve"> </v>
      </c>
      <c r="H2" s="19" t="e">
        <f>_xlfn.XLOOKUP(__xlnm._FilterDatabase_1510[[#This Row],[SAPSA Number]],#REF!,#REF!)</f>
        <v>#REF!</v>
      </c>
      <c r="I2" s="19" t="s">
        <v>239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2</v>
      </c>
      <c r="K2" s="22">
        <f t="shared" ref="K2:K33" si="2">(LARGE(L2:AI2,1)+LARGE(L2:AI2,2)+LARGE(L2:AI2,3)+LARGE(L2:AI2,4)+LARGE(L2:AI2,5)+LARGE(L2:AI2,6)+LARGE(L2:AI2,7)+LARGE(L2:AI2,8))/8</f>
        <v>25</v>
      </c>
      <c r="L2" s="23">
        <v>0</v>
      </c>
      <c r="M2" s="24">
        <v>100</v>
      </c>
      <c r="N2" s="23">
        <v>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100</v>
      </c>
      <c r="V2" s="23">
        <v>0</v>
      </c>
      <c r="W2" s="24">
        <v>0</v>
      </c>
    </row>
    <row r="3" spans="1:23" ht="14.4" customHeight="1" x14ac:dyDescent="0.3">
      <c r="A3" s="17">
        <f t="shared" si="0"/>
        <v>2</v>
      </c>
      <c r="B3" s="40">
        <v>5804</v>
      </c>
      <c r="C3" s="25" t="str">
        <f>_xlfn.XLOOKUP(__xlnm._FilterDatabase_1510[[#This Row],[SAPSA Number]],Table1[SAPSA number],Table1[Paid up])</f>
        <v>Y</v>
      </c>
      <c r="D3" s="39" t="str">
        <f>_xlfn.XLOOKUP(__xlnm._FilterDatabase_1510[[#This Row],[SAPSA Number]],Table1[SAPSA number],Table1[Name])</f>
        <v>Louis Johannes</v>
      </c>
      <c r="E3" s="39" t="str">
        <f>_xlfn.XLOOKUP(__xlnm._FilterDatabase_1510[[#This Row],[SAPSA Number]],Table1[SAPSA number],Table1[Surname])</f>
        <v>Nel</v>
      </c>
      <c r="F3" s="20" t="str">
        <f>_xlfn.XLOOKUP(__xlnm._FilterDatabase_1510[[#This Row],[SAPSA Number]],Table1[SAPSA number],Table1[Initials])</f>
        <v>LJ</v>
      </c>
      <c r="G3" s="17" t="str">
        <f ca="1">_xlfn.XLOOKUP(__xlnm._FilterDatabase_1510[[#This Row],[SAPSA Number]],Table1[SAPSA number],Table1[Gender])</f>
        <v xml:space="preserve"> </v>
      </c>
      <c r="H3" s="19" t="e">
        <f>_xlfn.XLOOKUP(__xlnm._FilterDatabase_1510[[#This Row],[SAPSA Number]],#REF!,#REF!)</f>
        <v>#REF!</v>
      </c>
      <c r="I3" s="19" t="s">
        <v>239</v>
      </c>
      <c r="J3" s="21">
        <f t="shared" si="1"/>
        <v>1</v>
      </c>
      <c r="K3" s="22">
        <f t="shared" si="2"/>
        <v>12.5</v>
      </c>
      <c r="L3" s="23">
        <v>0</v>
      </c>
      <c r="M3" s="24">
        <v>0</v>
      </c>
      <c r="N3" s="23">
        <v>0</v>
      </c>
      <c r="O3" s="24">
        <v>100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 t="shared" si="0"/>
        <v>3</v>
      </c>
      <c r="B4" s="25">
        <v>1471</v>
      </c>
      <c r="C4" s="25" t="str">
        <f>_xlfn.XLOOKUP(__xlnm._FilterDatabase_1510[[#This Row],[SAPSA Number]],Table1[SAPSA number],Table1[Paid up])</f>
        <v>Y</v>
      </c>
      <c r="D4" s="39" t="str">
        <f>_xlfn.XLOOKUP(__xlnm._FilterDatabase_1510[[#This Row],[SAPSA Number]],Table1[SAPSA number],Table1[Name])</f>
        <v>Nikolaus Phillip Karl</v>
      </c>
      <c r="E4" s="39" t="str">
        <f>_xlfn.XLOOKUP(__xlnm._FilterDatabase_1510[[#This Row],[SAPSA Number]],Table1[SAPSA number],Table1[Surname])</f>
        <v>Bernhard</v>
      </c>
      <c r="F4" s="20" t="str">
        <f>_xlfn.XLOOKUP(__xlnm._FilterDatabase_1510[[#This Row],[SAPSA Number]],Table1[SAPSA number],Table1[Initials])</f>
        <v>NPK</v>
      </c>
      <c r="G4" s="17" t="str">
        <f ca="1">_xlfn.XLOOKUP(__xlnm._FilterDatabase_1510[[#This Row],[SAPSA Number]],Table1[SAPSA number],Table1[Gender])</f>
        <v xml:space="preserve"> </v>
      </c>
      <c r="H4" s="19" t="e">
        <f>_xlfn.XLOOKUP(__xlnm._FilterDatabase_1510[[#This Row],[SAPSA Number]],#REF!,#REF!)</f>
        <v>#REF!</v>
      </c>
      <c r="I4" s="19" t="s">
        <v>239</v>
      </c>
      <c r="J4" s="21">
        <f t="shared" si="1"/>
        <v>0</v>
      </c>
      <c r="K4" s="22">
        <f t="shared" si="2"/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 t="shared" si="0"/>
        <v>3</v>
      </c>
      <c r="B5" s="25">
        <v>4624</v>
      </c>
      <c r="C5" s="25" t="str">
        <f>_xlfn.XLOOKUP(__xlnm._FilterDatabase_1510[[#This Row],[SAPSA Number]],Table1[SAPSA number],Table1[Paid up])</f>
        <v>Y</v>
      </c>
      <c r="D5" s="39" t="str">
        <f>_xlfn.XLOOKUP(__xlnm._FilterDatabase_1510[[#This Row],[SAPSA Number]],Table1[SAPSA number],Table1[Name])</f>
        <v>Stephanus Christiaan</v>
      </c>
      <c r="E5" s="39" t="str">
        <f>_xlfn.XLOOKUP(__xlnm._FilterDatabase_1510[[#This Row],[SAPSA Number]],Table1[SAPSA number],Table1[Surname])</f>
        <v>Bester</v>
      </c>
      <c r="F5" s="20" t="str">
        <f>_xlfn.XLOOKUP(__xlnm._FilterDatabase_1510[[#This Row],[SAPSA Number]],Table1[SAPSA number],Table1[Initials])</f>
        <v>SC</v>
      </c>
      <c r="G5" s="17" t="str">
        <f ca="1">_xlfn.XLOOKUP(__xlnm._FilterDatabase_1510[[#This Row],[SAPSA Number]],Table1[SAPSA number],Table1[Gender])</f>
        <v>S</v>
      </c>
      <c r="H5" s="19" t="e">
        <f>_xlfn.XLOOKUP(__xlnm._FilterDatabase_1510[[#This Row],[SAPSA Number]],#REF!,#REF!)</f>
        <v>#REF!</v>
      </c>
      <c r="I5" s="19" t="s">
        <v>239</v>
      </c>
      <c r="J5" s="21">
        <f t="shared" si="1"/>
        <v>0</v>
      </c>
      <c r="K5" s="22">
        <f t="shared" si="2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 t="shared" si="0"/>
        <v>3</v>
      </c>
      <c r="B6" s="25">
        <v>7431</v>
      </c>
      <c r="C6" s="25">
        <f>_xlfn.XLOOKUP(__xlnm._FilterDatabase_1510[[#This Row],[SAPSA Number]],Table1[SAPSA number],Table1[Paid up])</f>
        <v>0</v>
      </c>
      <c r="D6" s="39" t="str">
        <f>_xlfn.XLOOKUP(__xlnm._FilterDatabase_1510[[#This Row],[SAPSA Number]],Table1[SAPSA number],Table1[Name])</f>
        <v>Anton</v>
      </c>
      <c r="E6" s="39" t="str">
        <f>_xlfn.XLOOKUP(__xlnm._FilterDatabase_1510[[#This Row],[SAPSA Number]],Table1[SAPSA number],Table1[Surname])</f>
        <v>Booyse</v>
      </c>
      <c r="F6" s="20" t="str">
        <f>_xlfn.XLOOKUP(__xlnm._FilterDatabase_1510[[#This Row],[SAPSA Number]],Table1[SAPSA number],Table1[Initials])</f>
        <v>A</v>
      </c>
      <c r="G6" s="17">
        <f>_xlfn.XLOOKUP(__xlnm._FilterDatabase_1510[[#This Row],[SAPSA Number]],Table1[SAPSA number],Table1[Gender])</f>
        <v>0</v>
      </c>
      <c r="H6" s="19" t="e">
        <f>_xlfn.XLOOKUP(__xlnm._FilterDatabase_1510[[#This Row],[SAPSA Number]],#REF!,#REF!)</f>
        <v>#REF!</v>
      </c>
      <c r="I6" s="19" t="s">
        <v>239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 t="shared" si="0"/>
        <v>3</v>
      </c>
      <c r="B7" s="25">
        <v>3349</v>
      </c>
      <c r="C7" s="25">
        <f>_xlfn.XLOOKUP(__xlnm._FilterDatabase_1510[[#This Row],[SAPSA Number]],Table1[SAPSA number],Table1[Paid up])</f>
        <v>0</v>
      </c>
      <c r="D7" s="39" t="str">
        <f>_xlfn.XLOOKUP(__xlnm._FilterDatabase_1510[[#This Row],[SAPSA Number]],Table1[SAPSA number],Table1[Name])</f>
        <v>Stefanus Christiaan</v>
      </c>
      <c r="E7" s="39" t="str">
        <f>_xlfn.XLOOKUP(__xlnm._FilterDatabase_1510[[#This Row],[SAPSA Number]],Table1[SAPSA number],Table1[Surname])</f>
        <v>Bosch</v>
      </c>
      <c r="F7" s="20" t="str">
        <f>_xlfn.XLOOKUP(__xlnm._FilterDatabase_1510[[#This Row],[SAPSA Number]],Table1[SAPSA number],Table1[Initials])</f>
        <v>SC</v>
      </c>
      <c r="G7" s="17" t="str">
        <f ca="1">_xlfn.XLOOKUP(__xlnm._FilterDatabase_1510[[#This Row],[SAPSA Number]],Table1[SAPSA number],Table1[Gender])</f>
        <v>S</v>
      </c>
      <c r="H7" s="19" t="e">
        <f>_xlfn.XLOOKUP(__xlnm._FilterDatabase_1510[[#This Row],[SAPSA Number]],#REF!,#REF!)</f>
        <v>#REF!</v>
      </c>
      <c r="I7" s="19" t="s">
        <v>239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RANK(K8,K$2:K$168,0)</f>
        <v>3</v>
      </c>
      <c r="B8" s="18">
        <v>4621</v>
      </c>
      <c r="C8" s="100">
        <f>_xlfn.XLOOKUP(__xlnm._FilterDatabase_1510[[#This Row],[SAPSA Number]],Table1[SAPSA number],Table1[Paid up])</f>
        <v>0</v>
      </c>
      <c r="D8" s="39" t="str">
        <f>_xlfn.XLOOKUP(__xlnm._FilterDatabase_1510[[#This Row],[SAPSA Number]],Table1[SAPSA number],Table1[Name])</f>
        <v>Colin</v>
      </c>
      <c r="E8" s="39" t="str">
        <f>_xlfn.XLOOKUP(__xlnm._FilterDatabase_1510[[#This Row],[SAPSA Number]],Table1[SAPSA number],Table1[Surname])</f>
        <v>Bowring</v>
      </c>
      <c r="F8" s="20" t="str">
        <f>_xlfn.XLOOKUP(__xlnm._FilterDatabase_1510[[#This Row],[SAPSA Number]],Table1[SAPSA number],Table1[Initials])</f>
        <v>C</v>
      </c>
      <c r="G8" s="17" t="str">
        <f ca="1">_xlfn.XLOOKUP(__xlnm._FilterDatabase_1510[[#This Row],[SAPSA Number]],Table1[SAPSA number],Table1[Gender])</f>
        <v>SS</v>
      </c>
      <c r="H8" s="19" t="e">
        <f>_xlfn.XLOOKUP(__xlnm._FilterDatabase_1510[[#This Row],[SAPSA Number]],#REF!,#REF!)</f>
        <v>#REF!</v>
      </c>
      <c r="I8" s="19" t="s">
        <v>239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 t="shared" ref="A9:A40" si="3">RANK(K9,K$2:K$149,0)</f>
        <v>3</v>
      </c>
      <c r="B9" s="18">
        <v>3338</v>
      </c>
      <c r="C9" s="100">
        <f>_xlfn.XLOOKUP(__xlnm._FilterDatabase_1510[[#This Row],[SAPSA Number]],Table1[SAPSA number],Table1[Paid up])</f>
        <v>0</v>
      </c>
      <c r="D9" s="39" t="str">
        <f>_xlfn.XLOOKUP(__xlnm._FilterDatabase_1510[[#This Row],[SAPSA Number]],Table1[SAPSA number],Table1[Name])</f>
        <v>Carl Johann</v>
      </c>
      <c r="E9" s="39" t="str">
        <f>_xlfn.XLOOKUP(__xlnm._FilterDatabase_1510[[#This Row],[SAPSA Number]],Table1[SAPSA number],Table1[Surname])</f>
        <v>Brandt</v>
      </c>
      <c r="F9" s="20" t="str">
        <f>_xlfn.XLOOKUP(__xlnm._FilterDatabase_1510[[#This Row],[SAPSA Number]],Table1[SAPSA number],Table1[Initials])</f>
        <v>CJ</v>
      </c>
      <c r="G9" s="17" t="str">
        <f ca="1">_xlfn.XLOOKUP(__xlnm._FilterDatabase_1510[[#This Row],[SAPSA Number]],Table1[SAPSA number],Table1[Gender])</f>
        <v>S</v>
      </c>
      <c r="H9" s="19" t="e">
        <f>_xlfn.XLOOKUP(__xlnm._FilterDatabase_1510[[#This Row],[SAPSA Number]],#REF!,#REF!)</f>
        <v>#REF!</v>
      </c>
      <c r="I9" s="19" t="s">
        <v>239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si="3"/>
        <v>3</v>
      </c>
      <c r="B10" s="25">
        <v>3350</v>
      </c>
      <c r="C10" s="25">
        <f>_xlfn.XLOOKUP(__xlnm._FilterDatabase_1510[[#This Row],[SAPSA Number]],Table1[SAPSA number],Table1[Paid up])</f>
        <v>0</v>
      </c>
      <c r="D10" s="39" t="str">
        <f>_xlfn.XLOOKUP(__xlnm._FilterDatabase_1510[[#This Row],[SAPSA Number]],Table1[SAPSA number],Table1[Name])</f>
        <v>Conrad Ernest</v>
      </c>
      <c r="E10" s="39" t="str">
        <f>_xlfn.XLOOKUP(__xlnm._FilterDatabase_1510[[#This Row],[SAPSA Number]],Table1[SAPSA number],Table1[Surname])</f>
        <v>Brandt</v>
      </c>
      <c r="F10" s="20" t="str">
        <f>_xlfn.XLOOKUP(__xlnm._FilterDatabase_1510[[#This Row],[SAPSA Number]],Table1[SAPSA number],Table1[Initials])</f>
        <v>CE</v>
      </c>
      <c r="G10" s="17" t="str">
        <f ca="1">_xlfn.XLOOKUP(__xlnm._FilterDatabase_1510[[#This Row],[SAPSA Number]],Table1[SAPSA number],Table1[Gender])</f>
        <v>S</v>
      </c>
      <c r="H10" s="19" t="e">
        <f>_xlfn.XLOOKUP(__xlnm._FilterDatabase_1510[[#This Row],[SAPSA Number]],#REF!,#REF!)</f>
        <v>#REF!</v>
      </c>
      <c r="I10" s="19" t="s">
        <v>239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3"/>
        <v>3</v>
      </c>
      <c r="B11" s="25">
        <v>3576</v>
      </c>
      <c r="C11" s="25" t="str">
        <f>_xlfn.XLOOKUP(__xlnm._FilterDatabase_1510[[#This Row],[SAPSA Number]],Table1[SAPSA number],Table1[Paid up])</f>
        <v>Y</v>
      </c>
      <c r="D11" s="39" t="str">
        <f>_xlfn.XLOOKUP(__xlnm._FilterDatabase_1510[[#This Row],[SAPSA Number]],Table1[SAPSA number],Table1[Name])</f>
        <v>Christoff Mechiel</v>
      </c>
      <c r="E11" s="39" t="str">
        <f>_xlfn.XLOOKUP(__xlnm._FilterDatabase_1510[[#This Row],[SAPSA Number]],Table1[SAPSA number],Table1[Surname])</f>
        <v>Brandt</v>
      </c>
      <c r="F11" s="20" t="str">
        <f>_xlfn.XLOOKUP(__xlnm._FilterDatabase_1510[[#This Row],[SAPSA Number]],Table1[SAPSA number],Table1[Initials])</f>
        <v>CM</v>
      </c>
      <c r="G11" s="17" t="str">
        <f ca="1">_xlfn.XLOOKUP(__xlnm._FilterDatabase_1510[[#This Row],[SAPSA Number]],Table1[SAPSA number],Table1[Gender])</f>
        <v xml:space="preserve"> </v>
      </c>
      <c r="H11" s="19" t="e">
        <f>_xlfn.XLOOKUP(__xlnm._FilterDatabase_1510[[#This Row],[SAPSA Number]],#REF!,#REF!)</f>
        <v>#REF!</v>
      </c>
      <c r="I11" s="19" t="s">
        <v>239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3"/>
        <v>3</v>
      </c>
      <c r="B12" s="40">
        <v>5304</v>
      </c>
      <c r="C12" s="25">
        <f>_xlfn.XLOOKUP(__xlnm._FilterDatabase_1510[[#This Row],[SAPSA Number]],Table1[SAPSA number],Table1[Paid up])</f>
        <v>0</v>
      </c>
      <c r="D12" s="39" t="str">
        <f>_xlfn.XLOOKUP(__xlnm._FilterDatabase_1510[[#This Row],[SAPSA Number]],Table1[SAPSA number],Table1[Name])</f>
        <v>Johan Gerard</v>
      </c>
      <c r="E12" s="39" t="str">
        <f>_xlfn.XLOOKUP(__xlnm._FilterDatabase_1510[[#This Row],[SAPSA Number]],Table1[SAPSA number],Table1[Surname])</f>
        <v>Bultman</v>
      </c>
      <c r="F12" s="20" t="str">
        <f>_xlfn.XLOOKUP(__xlnm._FilterDatabase_1510[[#This Row],[SAPSA Number]],Table1[SAPSA number],Table1[Initials])</f>
        <v>JG</v>
      </c>
      <c r="G12" s="17" t="str">
        <f ca="1">_xlfn.XLOOKUP(__xlnm._FilterDatabase_1510[[#This Row],[SAPSA Number]],Table1[SAPSA number],Table1[Gender])</f>
        <v xml:space="preserve"> </v>
      </c>
      <c r="H12" s="19" t="e">
        <f>_xlfn.XLOOKUP(__xlnm._FilterDatabase_1510[[#This Row],[SAPSA Number]],#REF!,#REF!)</f>
        <v>#REF!</v>
      </c>
      <c r="I12" s="19" t="s">
        <v>239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3"/>
        <v>3</v>
      </c>
      <c r="B13" s="25">
        <v>259</v>
      </c>
      <c r="C13" s="25" t="str">
        <f>_xlfn.XLOOKUP(__xlnm._FilterDatabase_1510[[#This Row],[SAPSA Number]],Table1[SAPSA number],Table1[Paid up])</f>
        <v>Y</v>
      </c>
      <c r="D13" s="39" t="str">
        <f>_xlfn.XLOOKUP(__xlnm._FilterDatabase_1510[[#This Row],[SAPSA Number]],Table1[SAPSA number],Table1[Name])</f>
        <v>Kathleen Beresford</v>
      </c>
      <c r="E13" s="39" t="str">
        <f>_xlfn.XLOOKUP(__xlnm._FilterDatabase_1510[[#This Row],[SAPSA Number]],Table1[SAPSA number],Table1[Surname])</f>
        <v>Carter</v>
      </c>
      <c r="F13" s="20" t="str">
        <f>_xlfn.XLOOKUP(__xlnm._FilterDatabase_1510[[#This Row],[SAPSA Number]],Table1[SAPSA number],Table1[Initials])</f>
        <v>KB</v>
      </c>
      <c r="G13" s="17" t="str">
        <f>_xlfn.XLOOKUP(__xlnm._FilterDatabase_1510[[#This Row],[SAPSA Number]],Table1[SAPSA number],Table1[Gender])</f>
        <v>Lady</v>
      </c>
      <c r="H13" s="19" t="e">
        <f>_xlfn.XLOOKUP(__xlnm._FilterDatabase_1510[[#This Row],[SAPSA Number]],#REF!,#REF!)</f>
        <v>#REF!</v>
      </c>
      <c r="I13" s="19" t="s">
        <v>239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3"/>
        <v>3</v>
      </c>
      <c r="B14" s="25">
        <v>4316</v>
      </c>
      <c r="C14" s="25" t="str">
        <f>_xlfn.XLOOKUP(__xlnm._FilterDatabase_1510[[#This Row],[SAPSA Number]],Table1[SAPSA number],Table1[Paid up])</f>
        <v>Y</v>
      </c>
      <c r="D14" s="39" t="str">
        <f>_xlfn.XLOOKUP(__xlnm._FilterDatabase_1510[[#This Row],[SAPSA Number]],Table1[SAPSA number],Table1[Name])</f>
        <v>Wilhelm Jacobus</v>
      </c>
      <c r="E14" s="39" t="str">
        <f>_xlfn.XLOOKUP(__xlnm._FilterDatabase_1510[[#This Row],[SAPSA Number]],Table1[SAPSA number],Table1[Surname])</f>
        <v>Coetzee</v>
      </c>
      <c r="F14" s="20" t="str">
        <f>_xlfn.XLOOKUP(__xlnm._FilterDatabase_1510[[#This Row],[SAPSA Number]],Table1[SAPSA number],Table1[Initials])</f>
        <v>WJ</v>
      </c>
      <c r="G14" s="17" t="str">
        <f ca="1">_xlfn.XLOOKUP(__xlnm._FilterDatabase_1510[[#This Row],[SAPSA Number]],Table1[SAPSA number],Table1[Gender])</f>
        <v>S</v>
      </c>
      <c r="H14" s="19" t="e">
        <f>_xlfn.XLOOKUP(__xlnm._FilterDatabase_1510[[#This Row],[SAPSA Number]],#REF!,#REF!)</f>
        <v>#REF!</v>
      </c>
      <c r="I14" s="19" t="s">
        <v>239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3"/>
        <v>3</v>
      </c>
      <c r="B15" s="25">
        <v>591</v>
      </c>
      <c r="C15" s="25" t="str">
        <f>_xlfn.XLOOKUP(__xlnm._FilterDatabase_1510[[#This Row],[SAPSA Number]],Table1[SAPSA number],Table1[Paid up])</f>
        <v>Y</v>
      </c>
      <c r="D15" s="39" t="str">
        <f>_xlfn.XLOOKUP(__xlnm._FilterDatabase_1510[[#This Row],[SAPSA Number]],Table1[SAPSA number],Table1[Name])</f>
        <v>Enrico</v>
      </c>
      <c r="E15" s="39" t="str">
        <f>_xlfn.XLOOKUP(__xlnm._FilterDatabase_1510[[#This Row],[SAPSA Number]],Table1[SAPSA number],Table1[Surname])</f>
        <v>Cupido</v>
      </c>
      <c r="F15" s="20" t="str">
        <f>_xlfn.XLOOKUP(__xlnm._FilterDatabase_1510[[#This Row],[SAPSA Number]],Table1[SAPSA number],Table1[Initials])</f>
        <v>E</v>
      </c>
      <c r="G15" s="17" t="str">
        <f ca="1">_xlfn.XLOOKUP(__xlnm._FilterDatabase_1510[[#This Row],[SAPSA Number]],Table1[SAPSA number],Table1[Gender])</f>
        <v>GS</v>
      </c>
      <c r="H15" s="19" t="e">
        <f>_xlfn.XLOOKUP(__xlnm._FilterDatabase_1510[[#This Row],[SAPSA Number]],#REF!,#REF!)</f>
        <v>#REF!</v>
      </c>
      <c r="I15" s="19" t="s">
        <v>239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3"/>
        <v>3</v>
      </c>
      <c r="B16" s="40">
        <v>601</v>
      </c>
      <c r="C16" s="25" t="str">
        <f>_xlfn.XLOOKUP(__xlnm._FilterDatabase_1510[[#This Row],[SAPSA Number]],Table1[SAPSA number],Table1[Paid up])</f>
        <v>Y</v>
      </c>
      <c r="D16" s="39" t="str">
        <f>_xlfn.XLOOKUP(__xlnm._FilterDatabase_1510[[#This Row],[SAPSA Number]],Table1[SAPSA number],Table1[Name])</f>
        <v>Piero</v>
      </c>
      <c r="E16" s="39" t="str">
        <f>_xlfn.XLOOKUP(__xlnm._FilterDatabase_1510[[#This Row],[SAPSA Number]],Table1[SAPSA number],Table1[Surname])</f>
        <v>Cupido</v>
      </c>
      <c r="F16" s="20" t="str">
        <f>_xlfn.XLOOKUP(__xlnm._FilterDatabase_1510[[#This Row],[SAPSA Number]],Table1[SAPSA number],Table1[Initials])</f>
        <v>P</v>
      </c>
      <c r="G16" s="17" t="str">
        <f ca="1">_xlfn.XLOOKUP(__xlnm._FilterDatabase_1510[[#This Row],[SAPSA Number]],Table1[SAPSA number],Table1[Gender])</f>
        <v xml:space="preserve"> </v>
      </c>
      <c r="H16" s="19" t="e">
        <f>_xlfn.XLOOKUP(__xlnm._FilterDatabase_1510[[#This Row],[SAPSA Number]],#REF!,#REF!)</f>
        <v>#REF!</v>
      </c>
      <c r="I16" s="19" t="s">
        <v>239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3"/>
        <v>3</v>
      </c>
      <c r="B17" s="25">
        <v>288</v>
      </c>
      <c r="C17" s="25" t="str">
        <f>_xlfn.XLOOKUP(__xlnm._FilterDatabase_1510[[#This Row],[SAPSA Number]],Table1[SAPSA number],Table1[Paid up])</f>
        <v>Y</v>
      </c>
      <c r="D17" s="39" t="str">
        <f>_xlfn.XLOOKUP(__xlnm._FilterDatabase_1510[[#This Row],[SAPSA Number]],Table1[SAPSA number],Table1[Name])</f>
        <v>Feroz</v>
      </c>
      <c r="E17" s="39" t="str">
        <f>_xlfn.XLOOKUP(__xlnm._FilterDatabase_1510[[#This Row],[SAPSA Number]],Table1[SAPSA number],Table1[Surname])</f>
        <v>Daya</v>
      </c>
      <c r="F17" s="20" t="str">
        <f>_xlfn.XLOOKUP(__xlnm._FilterDatabase_1510[[#This Row],[SAPSA Number]],Table1[SAPSA number],Table1[Initials])</f>
        <v>F</v>
      </c>
      <c r="G17" s="17" t="str">
        <f ca="1">_xlfn.XLOOKUP(__xlnm._FilterDatabase_1510[[#This Row],[SAPSA Number]],Table1[SAPSA number],Table1[Gender])</f>
        <v>S</v>
      </c>
      <c r="H17" s="19" t="e">
        <f>_xlfn.XLOOKUP(__xlnm._FilterDatabase_1510[[#This Row],[SAPSA Number]],#REF!,#REF!)</f>
        <v>#REF!</v>
      </c>
      <c r="I17" s="19" t="s">
        <v>239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3"/>
        <v>3</v>
      </c>
      <c r="B18" s="25">
        <v>392</v>
      </c>
      <c r="C18" s="25" t="str">
        <f>_xlfn.XLOOKUP(__xlnm._FilterDatabase_1510[[#This Row],[SAPSA Number]],Table1[SAPSA number],Table1[Paid up])</f>
        <v>Y</v>
      </c>
      <c r="D18" s="39" t="str">
        <f>_xlfn.XLOOKUP(__xlnm._FilterDatabase_1510[[#This Row],[SAPSA Number]],Table1[SAPSA number],Table1[Name])</f>
        <v>Sasha-Lee</v>
      </c>
      <c r="E18" s="39" t="str">
        <f>_xlfn.XLOOKUP(__xlnm._FilterDatabase_1510[[#This Row],[SAPSA Number]],Table1[SAPSA number],Table1[Surname])</f>
        <v>Du Plessis</v>
      </c>
      <c r="F18" s="20" t="str">
        <f>_xlfn.XLOOKUP(__xlnm._FilterDatabase_1510[[#This Row],[SAPSA Number]],Table1[SAPSA number],Table1[Initials])</f>
        <v>SL</v>
      </c>
      <c r="G18" s="17" t="str">
        <f>_xlfn.XLOOKUP(__xlnm._FilterDatabase_1510[[#This Row],[SAPSA Number]],Table1[SAPSA number],Table1[Gender])</f>
        <v>Lady</v>
      </c>
      <c r="H18" s="19" t="e">
        <f>_xlfn.XLOOKUP(__xlnm._FilterDatabase_1510[[#This Row],[SAPSA Number]],#REF!,#REF!)</f>
        <v>#REF!</v>
      </c>
      <c r="I18" s="19" t="s">
        <v>239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3"/>
        <v>3</v>
      </c>
      <c r="B19" s="87">
        <v>127</v>
      </c>
      <c r="C19" s="102" t="str">
        <f>_xlfn.XLOOKUP(__xlnm._FilterDatabase_1510[[#This Row],[SAPSA Number]],Table1[SAPSA number],Table1[Paid up])</f>
        <v>Y</v>
      </c>
      <c r="D19" s="39" t="str">
        <f>_xlfn.XLOOKUP(__xlnm._FilterDatabase_1510[[#This Row],[SAPSA Number]],Table1[SAPSA number],Table1[Name])</f>
        <v>Eurika Susara</v>
      </c>
      <c r="E19" s="39" t="str">
        <f>_xlfn.XLOOKUP(__xlnm._FilterDatabase_1510[[#This Row],[SAPSA Number]],Table1[SAPSA number],Table1[Surname])</f>
        <v>Du Plooy</v>
      </c>
      <c r="F19" s="20" t="str">
        <f>_xlfn.XLOOKUP(__xlnm._FilterDatabase_1510[[#This Row],[SAPSA Number]],Table1[SAPSA number],Table1[Initials])</f>
        <v>E</v>
      </c>
      <c r="G19" s="17" t="str">
        <f>_xlfn.XLOOKUP(__xlnm._FilterDatabase_1510[[#This Row],[SAPSA Number]],Table1[SAPSA number],Table1[Gender])</f>
        <v>SS</v>
      </c>
      <c r="H19" s="19" t="e">
        <f>_xlfn.XLOOKUP(__xlnm._FilterDatabase_1510[[#This Row],[SAPSA Number]],#REF!,#REF!)</f>
        <v>#REF!</v>
      </c>
      <c r="I19" s="19" t="s">
        <v>239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3"/>
        <v>3</v>
      </c>
      <c r="B20" s="86">
        <v>393</v>
      </c>
      <c r="C20" s="99" t="str">
        <f>_xlfn.XLOOKUP(__xlnm._FilterDatabase_1510[[#This Row],[SAPSA Number]],Table1[SAPSA number],Table1[Paid up])</f>
        <v>Y</v>
      </c>
      <c r="D20" s="39" t="str">
        <f>_xlfn.XLOOKUP(__xlnm._FilterDatabase_1510[[#This Row],[SAPSA Number]],Table1[SAPSA number],Table1[Name])</f>
        <v>Robyn Angela</v>
      </c>
      <c r="E20" s="39" t="str">
        <f>_xlfn.XLOOKUP(__xlnm._FilterDatabase_1510[[#This Row],[SAPSA Number]],Table1[SAPSA number],Table1[Surname])</f>
        <v>Evans</v>
      </c>
      <c r="F20" s="20" t="str">
        <f>_xlfn.XLOOKUP(__xlnm._FilterDatabase_1510[[#This Row],[SAPSA Number]],Table1[SAPSA number],Table1[Initials])</f>
        <v>RA</v>
      </c>
      <c r="G20" s="17" t="str">
        <f>_xlfn.XLOOKUP(__xlnm._FilterDatabase_1510[[#This Row],[SAPSA Number]],Table1[SAPSA number],Table1[Gender])</f>
        <v>Lady</v>
      </c>
      <c r="H20" s="19" t="e">
        <f>_xlfn.XLOOKUP(__xlnm._FilterDatabase_1510[[#This Row],[SAPSA Number]],#REF!,#REF!)</f>
        <v>#REF!</v>
      </c>
      <c r="I20" s="19" t="s">
        <v>239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3"/>
        <v>3</v>
      </c>
      <c r="B21" s="25">
        <v>3172</v>
      </c>
      <c r="C21" s="25" t="str">
        <f>_xlfn.XLOOKUP(__xlnm._FilterDatabase_1510[[#This Row],[SAPSA Number]],Table1[SAPSA number],Table1[Paid up])</f>
        <v>Y</v>
      </c>
      <c r="D21" s="39" t="str">
        <f>_xlfn.XLOOKUP(__xlnm._FilterDatabase_1510[[#This Row],[SAPSA Number]],Table1[SAPSA number],Table1[Name])</f>
        <v>Mervyn-John</v>
      </c>
      <c r="E21" s="39" t="str">
        <f>_xlfn.XLOOKUP(__xlnm._FilterDatabase_1510[[#This Row],[SAPSA Number]],Table1[SAPSA number],Table1[Surname])</f>
        <v>Evans</v>
      </c>
      <c r="F21" s="20" t="str">
        <f>_xlfn.XLOOKUP(__xlnm._FilterDatabase_1510[[#This Row],[SAPSA Number]],Table1[SAPSA number],Table1[Initials])</f>
        <v>MJ</v>
      </c>
      <c r="G21" s="17" t="str">
        <f ca="1">_xlfn.XLOOKUP(__xlnm._FilterDatabase_1510[[#This Row],[SAPSA Number]],Table1[SAPSA number],Table1[Gender])</f>
        <v>SS</v>
      </c>
      <c r="H21" s="19" t="e">
        <f>_xlfn.XLOOKUP(__xlnm._FilterDatabase_1510[[#This Row],[SAPSA Number]],#REF!,#REF!)</f>
        <v>#REF!</v>
      </c>
      <c r="I21" s="19" t="s">
        <v>239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3"/>
        <v>3</v>
      </c>
      <c r="B22" s="25">
        <v>3173</v>
      </c>
      <c r="C22" s="25" t="str">
        <f>_xlfn.XLOOKUP(__xlnm._FilterDatabase_1510[[#This Row],[SAPSA Number]],Table1[SAPSA number],Table1[Paid up])</f>
        <v>Y</v>
      </c>
      <c r="D22" s="39" t="str">
        <f>_xlfn.XLOOKUP(__xlnm._FilterDatabase_1510[[#This Row],[SAPSA Number]],Table1[SAPSA number],Table1[Name])</f>
        <v>Garrett-John</v>
      </c>
      <c r="E22" s="39" t="str">
        <f>_xlfn.XLOOKUP(__xlnm._FilterDatabase_1510[[#This Row],[SAPSA Number]],Table1[SAPSA number],Table1[Surname])</f>
        <v>Evans</v>
      </c>
      <c r="F22" s="20" t="str">
        <f>_xlfn.XLOOKUP(__xlnm._FilterDatabase_1510[[#This Row],[SAPSA Number]],Table1[SAPSA number],Table1[Initials])</f>
        <v>G-J</v>
      </c>
      <c r="G22" s="17" t="str">
        <f ca="1">_xlfn.XLOOKUP(__xlnm._FilterDatabase_1510[[#This Row],[SAPSA Number]],Table1[SAPSA number],Table1[Gender])</f>
        <v xml:space="preserve"> </v>
      </c>
      <c r="H22" s="19" t="e">
        <f>_xlfn.XLOOKUP(__xlnm._FilterDatabase_1510[[#This Row],[SAPSA Number]],#REF!,#REF!)</f>
        <v>#REF!</v>
      </c>
      <c r="I22" s="19" t="s">
        <v>239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3"/>
        <v>3</v>
      </c>
      <c r="B23" s="25">
        <v>7434</v>
      </c>
      <c r="C23" s="25">
        <f>_xlfn.XLOOKUP(__xlnm._FilterDatabase_1510[[#This Row],[SAPSA Number]],Table1[SAPSA number],Table1[Paid up])</f>
        <v>0</v>
      </c>
      <c r="D23" s="39" t="str">
        <f>_xlfn.XLOOKUP(__xlnm._FilterDatabase_1510[[#This Row],[SAPSA Number]],Table1[SAPSA number],Table1[Name])</f>
        <v>Shannon Kimberley</v>
      </c>
      <c r="E23" s="39" t="str">
        <f>_xlfn.XLOOKUP(__xlnm._FilterDatabase_1510[[#This Row],[SAPSA Number]],Table1[SAPSA number],Table1[Surname])</f>
        <v>Gahagan</v>
      </c>
      <c r="F23" s="20" t="str">
        <f>_xlfn.XLOOKUP(__xlnm._FilterDatabase_1510[[#This Row],[SAPSA Number]],Table1[SAPSA number],Table1[Initials])</f>
        <v>S</v>
      </c>
      <c r="G23" s="17" t="str">
        <f>_xlfn.XLOOKUP(__xlnm._FilterDatabase_1510[[#This Row],[SAPSA Number]],Table1[SAPSA number],Table1[Gender])</f>
        <v>Lady</v>
      </c>
      <c r="H23" s="19" t="e">
        <f>_xlfn.XLOOKUP(__xlnm._FilterDatabase_1510[[#This Row],[SAPSA Number]],#REF!,#REF!)</f>
        <v>#REF!</v>
      </c>
      <c r="I23" s="19" t="s">
        <v>239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3"/>
        <v>3</v>
      </c>
      <c r="B24" s="25">
        <v>3782</v>
      </c>
      <c r="C24" s="25">
        <f>_xlfn.XLOOKUP(__xlnm._FilterDatabase_1510[[#This Row],[SAPSA Number]],Table1[SAPSA number],Table1[Paid up])</f>
        <v>0</v>
      </c>
      <c r="D24" s="39" t="str">
        <f>_xlfn.XLOOKUP(__xlnm._FilterDatabase_1510[[#This Row],[SAPSA Number]],Table1[SAPSA number],Table1[Name])</f>
        <v>Gary Athol</v>
      </c>
      <c r="E24" s="39" t="str">
        <f>_xlfn.XLOOKUP(__xlnm._FilterDatabase_1510[[#This Row],[SAPSA Number]],Table1[SAPSA number],Table1[Surname])</f>
        <v>Hagemann</v>
      </c>
      <c r="F24" s="20" t="str">
        <f>_xlfn.XLOOKUP(__xlnm._FilterDatabase_1510[[#This Row],[SAPSA Number]],Table1[SAPSA number],Table1[Initials])</f>
        <v>GA</v>
      </c>
      <c r="G24" s="17" t="str">
        <f ca="1">_xlfn.XLOOKUP(__xlnm._FilterDatabase_1510[[#This Row],[SAPSA Number]],Table1[SAPSA number],Table1[Gender])</f>
        <v>S</v>
      </c>
      <c r="H24" s="19" t="e">
        <f>_xlfn.XLOOKUP(__xlnm._FilterDatabase_1510[[#This Row],[SAPSA Number]],#REF!,#REF!)</f>
        <v>#REF!</v>
      </c>
      <c r="I24" s="19" t="s">
        <v>239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3"/>
        <v>3</v>
      </c>
      <c r="B25" s="25">
        <v>6308</v>
      </c>
      <c r="C25" s="25">
        <f>_xlfn.XLOOKUP(__xlnm._FilterDatabase_1510[[#This Row],[SAPSA Number]],Table1[SAPSA number],Table1[Paid up])</f>
        <v>0</v>
      </c>
      <c r="D25" s="39" t="str">
        <f>_xlfn.XLOOKUP(__xlnm._FilterDatabase_1510[[#This Row],[SAPSA Number]],Table1[SAPSA number],Table1[Name])</f>
        <v>James Matthew</v>
      </c>
      <c r="E25" s="39" t="str">
        <f>_xlfn.XLOOKUP(__xlnm._FilterDatabase_1510[[#This Row],[SAPSA Number]],Table1[SAPSA number],Table1[Surname])</f>
        <v>Hagemann</v>
      </c>
      <c r="F25" s="20" t="str">
        <f>_xlfn.XLOOKUP(__xlnm._FilterDatabase_1510[[#This Row],[SAPSA Number]],Table1[SAPSA number],Table1[Initials])</f>
        <v>JM</v>
      </c>
      <c r="G25" s="17" t="str">
        <f ca="1">_xlfn.XLOOKUP(__xlnm._FilterDatabase_1510[[#This Row],[SAPSA Number]],Table1[SAPSA number],Table1[Gender])</f>
        <v>Jnr</v>
      </c>
      <c r="H25" s="19" t="e">
        <f>_xlfn.XLOOKUP(__xlnm._FilterDatabase_1510[[#This Row],[SAPSA Number]],#REF!,#REF!)</f>
        <v>#REF!</v>
      </c>
      <c r="I25" s="19" t="s">
        <v>239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3"/>
        <v>3</v>
      </c>
      <c r="B26" s="25">
        <v>7328</v>
      </c>
      <c r="C26" s="25" t="str">
        <f>_xlfn.XLOOKUP(__xlnm._FilterDatabase_1510[[#This Row],[SAPSA Number]],Table1[SAPSA number],Table1[Paid up])</f>
        <v>Y</v>
      </c>
      <c r="D26" s="39" t="str">
        <f>_xlfn.XLOOKUP(__xlnm._FilterDatabase_1510[[#This Row],[SAPSA Number]],Table1[SAPSA number],Table1[Name])</f>
        <v>Sizwe</v>
      </c>
      <c r="E26" s="39" t="str">
        <f>_xlfn.XLOOKUP(__xlnm._FilterDatabase_1510[[#This Row],[SAPSA Number]],Table1[SAPSA number],Table1[Surname])</f>
        <v>Hlongwane</v>
      </c>
      <c r="F26" s="20" t="str">
        <f>_xlfn.XLOOKUP(__xlnm._FilterDatabase_1510[[#This Row],[SAPSA Number]],Table1[SAPSA number],Table1[Initials])</f>
        <v>S</v>
      </c>
      <c r="G26" s="17" t="str">
        <f ca="1">_xlfn.XLOOKUP(__xlnm._FilterDatabase_1510[[#This Row],[SAPSA Number]],Table1[SAPSA number],Table1[Gender])</f>
        <v xml:space="preserve"> </v>
      </c>
      <c r="H26" s="19" t="e">
        <f>_xlfn.XLOOKUP(__xlnm._FilterDatabase_1510[[#This Row],[SAPSA Number]],#REF!,#REF!)</f>
        <v>#REF!</v>
      </c>
      <c r="I26" s="19" t="s">
        <v>239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3"/>
        <v>3</v>
      </c>
      <c r="B27" s="25">
        <v>7271</v>
      </c>
      <c r="C27" s="25" t="str">
        <f>_xlfn.XLOOKUP(__xlnm._FilterDatabase_1510[[#This Row],[SAPSA Number]],Table1[SAPSA number],Table1[Paid up])</f>
        <v>Y</v>
      </c>
      <c r="D27" s="39" t="str">
        <f>_xlfn.XLOOKUP(__xlnm._FilterDatabase_1510[[#This Row],[SAPSA Number]],Table1[SAPSA number],Table1[Name])</f>
        <v>Johan</v>
      </c>
      <c r="E27" s="39" t="str">
        <f>_xlfn.XLOOKUP(__xlnm._FilterDatabase_1510[[#This Row],[SAPSA Number]],Table1[SAPSA number],Table1[Surname])</f>
        <v>Jacobs</v>
      </c>
      <c r="F27" s="20" t="str">
        <f>_xlfn.XLOOKUP(__xlnm._FilterDatabase_1510[[#This Row],[SAPSA Number]],Table1[SAPSA number],Table1[Initials])</f>
        <v>J</v>
      </c>
      <c r="G27" s="17" t="str">
        <f ca="1">_xlfn.XLOOKUP(__xlnm._FilterDatabase_1510[[#This Row],[SAPSA Number]],Table1[SAPSA number],Table1[Gender])</f>
        <v xml:space="preserve"> </v>
      </c>
      <c r="H27" s="19" t="e">
        <f>_xlfn.XLOOKUP(__xlnm._FilterDatabase_1510[[#This Row],[SAPSA Number]],#REF!,#REF!)</f>
        <v>#REF!</v>
      </c>
      <c r="I27" s="19" t="s">
        <v>239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3"/>
        <v>3</v>
      </c>
      <c r="B28" s="25">
        <v>2655</v>
      </c>
      <c r="C28" s="25" t="str">
        <f>_xlfn.XLOOKUP(__xlnm._FilterDatabase_1510[[#This Row],[SAPSA Number]],Table1[SAPSA number],Table1[Paid up])</f>
        <v>Y</v>
      </c>
      <c r="D28" s="39" t="str">
        <f>_xlfn.XLOOKUP(__xlnm._FilterDatabase_1510[[#This Row],[SAPSA Number]],Table1[SAPSA number],Table1[Name])</f>
        <v>Ruben</v>
      </c>
      <c r="E28" s="39" t="str">
        <f>_xlfn.XLOOKUP(__xlnm._FilterDatabase_1510[[#This Row],[SAPSA Number]],Table1[SAPSA number],Table1[Surname])</f>
        <v>Joubert</v>
      </c>
      <c r="F28" s="20" t="str">
        <f>_xlfn.XLOOKUP(__xlnm._FilterDatabase_1510[[#This Row],[SAPSA Number]],Table1[SAPSA number],Table1[Initials])</f>
        <v>R</v>
      </c>
      <c r="G28" s="17" t="str">
        <f ca="1">_xlfn.XLOOKUP(__xlnm._FilterDatabase_1510[[#This Row],[SAPSA Number]],Table1[SAPSA number],Table1[Gender])</f>
        <v>Jnr</v>
      </c>
      <c r="H28" s="19" t="e">
        <f>_xlfn.XLOOKUP(__xlnm._FilterDatabase_1510[[#This Row],[SAPSA Number]],#REF!,#REF!)</f>
        <v>#REF!</v>
      </c>
      <c r="I28" s="19" t="s">
        <v>239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3"/>
        <v>3</v>
      </c>
      <c r="B29" s="18">
        <v>3339</v>
      </c>
      <c r="C29" s="25" t="str">
        <f>_xlfn.XLOOKUP(__xlnm._FilterDatabase_1510[[#This Row],[SAPSA Number]],Table1[SAPSA number],Table1[Paid up])</f>
        <v>Y</v>
      </c>
      <c r="D29" s="39" t="str">
        <f>_xlfn.XLOOKUP(__xlnm._FilterDatabase_1510[[#This Row],[SAPSA Number]],Table1[SAPSA number],Table1[Name])</f>
        <v>Hendrik Johannes</v>
      </c>
      <c r="E29" s="39" t="str">
        <f>_xlfn.XLOOKUP(__xlnm._FilterDatabase_1510[[#This Row],[SAPSA Number]],Table1[SAPSA number],Table1[Surname])</f>
        <v>Joubert</v>
      </c>
      <c r="F29" s="20" t="str">
        <f>_xlfn.XLOOKUP(__xlnm._FilterDatabase_1510[[#This Row],[SAPSA Number]],Table1[SAPSA number],Table1[Initials])</f>
        <v>HJ</v>
      </c>
      <c r="G29" s="17" t="str">
        <f ca="1">_xlfn.XLOOKUP(__xlnm._FilterDatabase_1510[[#This Row],[SAPSA Number]],Table1[SAPSA number],Table1[Gender])</f>
        <v>S</v>
      </c>
      <c r="H29" s="19" t="e">
        <f>_xlfn.XLOOKUP(__xlnm._FilterDatabase_1510[[#This Row],[SAPSA Number]],#REF!,#REF!)</f>
        <v>#REF!</v>
      </c>
      <c r="I29" s="19" t="s">
        <v>239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3"/>
        <v>3</v>
      </c>
      <c r="B30" s="25">
        <v>4094</v>
      </c>
      <c r="C30" s="25" t="str">
        <f>_xlfn.XLOOKUP(__xlnm._FilterDatabase_1510[[#This Row],[SAPSA Number]],Table1[SAPSA number],Table1[Paid up])</f>
        <v>Y</v>
      </c>
      <c r="D30" s="39" t="str">
        <f>_xlfn.XLOOKUP(__xlnm._FilterDatabase_1510[[#This Row],[SAPSA Number]],Table1[SAPSA number],Table1[Name])</f>
        <v>Johan</v>
      </c>
      <c r="E30" s="39" t="str">
        <f>_xlfn.XLOOKUP(__xlnm._FilterDatabase_1510[[#This Row],[SAPSA Number]],Table1[SAPSA number],Table1[Surname])</f>
        <v>Kemp</v>
      </c>
      <c r="F30" s="20" t="str">
        <f>_xlfn.XLOOKUP(__xlnm._FilterDatabase_1510[[#This Row],[SAPSA Number]],Table1[SAPSA number],Table1[Initials])</f>
        <v>J</v>
      </c>
      <c r="G30" s="17" t="str">
        <f ca="1">_xlfn.XLOOKUP(__xlnm._FilterDatabase_1510[[#This Row],[SAPSA Number]],Table1[SAPSA number],Table1[Gender])</f>
        <v xml:space="preserve"> </v>
      </c>
      <c r="H30" s="19" t="e">
        <f>_xlfn.XLOOKUP(__xlnm._FilterDatabase_1510[[#This Row],[SAPSA Number]],#REF!,#REF!)</f>
        <v>#REF!</v>
      </c>
      <c r="I30" s="19" t="s">
        <v>239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3</v>
      </c>
      <c r="B31" s="40">
        <v>6968</v>
      </c>
      <c r="C31" s="25" t="str">
        <f>_xlfn.XLOOKUP(__xlnm._FilterDatabase_1510[[#This Row],[SAPSA Number]],Table1[SAPSA number],Table1[Paid up])</f>
        <v>Y</v>
      </c>
      <c r="D31" s="39" t="str">
        <f>_xlfn.XLOOKUP(__xlnm._FilterDatabase_1510[[#This Row],[SAPSA Number]],Table1[SAPSA number],Table1[Name])</f>
        <v>Ian John</v>
      </c>
      <c r="E31" s="39" t="str">
        <f>_xlfn.XLOOKUP(__xlnm._FilterDatabase_1510[[#This Row],[SAPSA Number]],Table1[SAPSA number],Table1[Surname])</f>
        <v>Kewley</v>
      </c>
      <c r="F31" s="20" t="str">
        <f>_xlfn.XLOOKUP(__xlnm._FilterDatabase_1510[[#This Row],[SAPSA Number]],Table1[SAPSA number],Table1[Initials])</f>
        <v>IJ</v>
      </c>
      <c r="G31" s="17" t="str">
        <f ca="1">_xlfn.XLOOKUP(__xlnm._FilterDatabase_1510[[#This Row],[SAPSA Number]],Table1[SAPSA number],Table1[Gender])</f>
        <v xml:space="preserve"> </v>
      </c>
      <c r="H31" s="19" t="e">
        <f>_xlfn.XLOOKUP(__xlnm._FilterDatabase_1510[[#This Row],[SAPSA Number]],#REF!,#REF!)</f>
        <v>#REF!</v>
      </c>
      <c r="I31" s="19" t="s">
        <v>239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3</v>
      </c>
      <c r="B32" s="25">
        <v>7260</v>
      </c>
      <c r="C32" s="25">
        <f>_xlfn.XLOOKUP(__xlnm._FilterDatabase_1510[[#This Row],[SAPSA Number]],Table1[SAPSA number],Table1[Paid up])</f>
        <v>0</v>
      </c>
      <c r="D32" s="39" t="str">
        <f>_xlfn.XLOOKUP(__xlnm._FilterDatabase_1510[[#This Row],[SAPSA Number]],Table1[SAPSA number],Table1[Name])</f>
        <v>Glenn</v>
      </c>
      <c r="E32" s="39" t="str">
        <f>_xlfn.XLOOKUP(__xlnm._FilterDatabase_1510[[#This Row],[SAPSA Number]],Table1[SAPSA number],Table1[Surname])</f>
        <v>Kieser</v>
      </c>
      <c r="F32" s="20" t="str">
        <f>_xlfn.XLOOKUP(__xlnm._FilterDatabase_1510[[#This Row],[SAPSA Number]],Table1[SAPSA number],Table1[Initials])</f>
        <v>G</v>
      </c>
      <c r="G32" s="17" t="str">
        <f ca="1">_xlfn.XLOOKUP(__xlnm._FilterDatabase_1510[[#This Row],[SAPSA Number]],Table1[SAPSA number],Table1[Gender])</f>
        <v>SS</v>
      </c>
      <c r="H32" s="19" t="e">
        <f>_xlfn.XLOOKUP(__xlnm._FilterDatabase_1510[[#This Row],[SAPSA Number]],#REF!,#REF!)</f>
        <v>#REF!</v>
      </c>
      <c r="I32" s="19" t="s">
        <v>239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3"/>
        <v>3</v>
      </c>
      <c r="B33" s="25">
        <v>252</v>
      </c>
      <c r="C33" s="25" t="str">
        <f>_xlfn.XLOOKUP(__xlnm._FilterDatabase_1510[[#This Row],[SAPSA Number]],Table1[SAPSA number],Table1[Paid up])</f>
        <v>Y</v>
      </c>
      <c r="D33" s="39" t="str">
        <f>_xlfn.XLOOKUP(__xlnm._FilterDatabase_1510[[#This Row],[SAPSA Number]],Table1[SAPSA number],Table1[Name])</f>
        <v>Deon</v>
      </c>
      <c r="E33" s="39" t="str">
        <f>_xlfn.XLOOKUP(__xlnm._FilterDatabase_1510[[#This Row],[SAPSA Number]],Table1[SAPSA number],Table1[Surname])</f>
        <v>Labuschagne</v>
      </c>
      <c r="F33" s="20" t="str">
        <f>_xlfn.XLOOKUP(__xlnm._FilterDatabase_1510[[#This Row],[SAPSA Number]],Table1[SAPSA number],Table1[Initials])</f>
        <v>D</v>
      </c>
      <c r="G33" s="17" t="str">
        <f ca="1">_xlfn.XLOOKUP(__xlnm._FilterDatabase_1510[[#This Row],[SAPSA Number]],Table1[SAPSA number],Table1[Gender])</f>
        <v>GS</v>
      </c>
      <c r="H33" s="19" t="e">
        <f>_xlfn.XLOOKUP(__xlnm._FilterDatabase_1510[[#This Row],[SAPSA Number]],#REF!,#REF!)</f>
        <v>#REF!</v>
      </c>
      <c r="I33" s="19" t="s">
        <v>239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3"/>
        <v>3</v>
      </c>
      <c r="B34" s="18">
        <v>2651</v>
      </c>
      <c r="C34" s="25" t="str">
        <f>_xlfn.XLOOKUP(__xlnm._FilterDatabase_1510[[#This Row],[SAPSA Number]],Table1[SAPSA number],Table1[Paid up])</f>
        <v>Y</v>
      </c>
      <c r="D34" s="39" t="str">
        <f>_xlfn.XLOOKUP(__xlnm._FilterDatabase_1510[[#This Row],[SAPSA Number]],Table1[SAPSA number],Table1[Name])</f>
        <v>Paul Herman</v>
      </c>
      <c r="E34" s="39" t="str">
        <f>_xlfn.XLOOKUP(__xlnm._FilterDatabase_1510[[#This Row],[SAPSA Number]],Table1[SAPSA number],Table1[Surname])</f>
        <v>Leuschner</v>
      </c>
      <c r="F34" s="20" t="str">
        <f>_xlfn.XLOOKUP(__xlnm._FilterDatabase_1510[[#This Row],[SAPSA Number]],Table1[SAPSA number],Table1[Initials])</f>
        <v>PH</v>
      </c>
      <c r="G34" s="17" t="str">
        <f ca="1">_xlfn.XLOOKUP(__xlnm._FilterDatabase_1510[[#This Row],[SAPSA Number]],Table1[SAPSA number],Table1[Gender])</f>
        <v>S</v>
      </c>
      <c r="H34" s="19" t="e">
        <f>_xlfn.XLOOKUP(__xlnm._FilterDatabase_1510[[#This Row],[SAPSA Number]],#REF!,#REF!)</f>
        <v>#REF!</v>
      </c>
      <c r="I34" s="19" t="s">
        <v>239</v>
      </c>
      <c r="J34" s="21">
        <f t="shared" ref="J34:J66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(LARGE(L34:AI34,1)+LARGE(L34:AI34,2)+LARGE(L34:AI34,3)+LARGE(L34:AI34,4)+LARGE(L34:AI34,5)+LARGE(L34:AI34,6)+LARGE(L34:AI34,7)+LARGE(L34:AI34,8))/8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3"/>
        <v>3</v>
      </c>
      <c r="B35" s="25">
        <v>683</v>
      </c>
      <c r="C35" s="25">
        <f>_xlfn.XLOOKUP(__xlnm._FilterDatabase_1510[[#This Row],[SAPSA Number]],Table1[SAPSA number],Table1[Paid up])</f>
        <v>0</v>
      </c>
      <c r="D35" s="39" t="str">
        <f>_xlfn.XLOOKUP(__xlnm._FilterDatabase_1510[[#This Row],[SAPSA Number]],Table1[SAPSA number],Table1[Name])</f>
        <v>Ivor</v>
      </c>
      <c r="E35" s="39" t="str">
        <f>_xlfn.XLOOKUP(__xlnm._FilterDatabase_1510[[#This Row],[SAPSA Number]],Table1[SAPSA number],Table1[Surname])</f>
        <v>Marais</v>
      </c>
      <c r="F35" s="20" t="str">
        <f>_xlfn.XLOOKUP(__xlnm._FilterDatabase_1510[[#This Row],[SAPSA Number]],Table1[SAPSA number],Table1[Initials])</f>
        <v>I</v>
      </c>
      <c r="G35" s="17" t="str">
        <f ca="1">_xlfn.XLOOKUP(__xlnm._FilterDatabase_1510[[#This Row],[SAPSA Number]],Table1[SAPSA number],Table1[Gender])</f>
        <v>S</v>
      </c>
      <c r="H35" s="19" t="e">
        <f>_xlfn.XLOOKUP(__xlnm._FilterDatabase_1510[[#This Row],[SAPSA Number]],#REF!,#REF!)</f>
        <v>#REF!</v>
      </c>
      <c r="I35" s="19" t="s">
        <v>239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3"/>
        <v>3</v>
      </c>
      <c r="B36" s="40">
        <v>4862</v>
      </c>
      <c r="C36" s="25" t="str">
        <f>_xlfn.XLOOKUP(__xlnm._FilterDatabase_1510[[#This Row],[SAPSA Number]],Table1[SAPSA number],Table1[Paid up])</f>
        <v>Y</v>
      </c>
      <c r="D36" s="39" t="str">
        <f>_xlfn.XLOOKUP(__xlnm._FilterDatabase_1510[[#This Row],[SAPSA Number]],Table1[SAPSA number],Table1[Name])</f>
        <v>George Keith</v>
      </c>
      <c r="E36" s="39" t="str">
        <f>_xlfn.XLOOKUP(__xlnm._FilterDatabase_1510[[#This Row],[SAPSA Number]],Table1[SAPSA number],Table1[Surname])</f>
        <v>Marais</v>
      </c>
      <c r="F36" s="20" t="str">
        <f>_xlfn.XLOOKUP(__xlnm._FilterDatabase_1510[[#This Row],[SAPSA Number]],Table1[SAPSA number],Table1[Initials])</f>
        <v>GK</v>
      </c>
      <c r="G36" s="17" t="str">
        <f ca="1">_xlfn.XLOOKUP(__xlnm._FilterDatabase_1510[[#This Row],[SAPSA Number]],Table1[SAPSA number],Table1[Gender])</f>
        <v>S</v>
      </c>
      <c r="H36" s="19" t="e">
        <f>_xlfn.XLOOKUP(__xlnm._FilterDatabase_1510[[#This Row],[SAPSA Number]],#REF!,#REF!)</f>
        <v>#REF!</v>
      </c>
      <c r="I36" s="19" t="s">
        <v>239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3</v>
      </c>
      <c r="B37" s="18">
        <v>6966</v>
      </c>
      <c r="C37" s="25" t="str">
        <f>_xlfn.XLOOKUP(__xlnm._FilterDatabase_1510[[#This Row],[SAPSA Number]],Table1[SAPSA number],Table1[Paid up])</f>
        <v>Y</v>
      </c>
      <c r="D37" s="39" t="str">
        <f>_xlfn.XLOOKUP(__xlnm._FilterDatabase_1510[[#This Row],[SAPSA Number]],Table1[SAPSA number],Table1[Name])</f>
        <v>James</v>
      </c>
      <c r="E37" s="39" t="str">
        <f>_xlfn.XLOOKUP(__xlnm._FilterDatabase_1510[[#This Row],[SAPSA Number]],Table1[SAPSA number],Table1[Surname])</f>
        <v>Masonganye</v>
      </c>
      <c r="F37" s="20" t="str">
        <f>_xlfn.XLOOKUP(__xlnm._FilterDatabase_1510[[#This Row],[SAPSA Number]],Table1[SAPSA number],Table1[Initials])</f>
        <v>J</v>
      </c>
      <c r="G37" s="17" t="str">
        <f ca="1">_xlfn.XLOOKUP(__xlnm._FilterDatabase_1510[[#This Row],[SAPSA Number]],Table1[SAPSA number],Table1[Gender])</f>
        <v>S</v>
      </c>
      <c r="H37" s="19" t="e">
        <f>_xlfn.XLOOKUP(__xlnm._FilterDatabase_1510[[#This Row],[SAPSA Number]],#REF!,#REF!)</f>
        <v>#REF!</v>
      </c>
      <c r="I37" s="19" t="s">
        <v>239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3</v>
      </c>
      <c r="B38" s="18">
        <v>7132</v>
      </c>
      <c r="C38" s="25" t="str">
        <f>_xlfn.XLOOKUP(__xlnm._FilterDatabase_1510[[#This Row],[SAPSA Number]],Table1[SAPSA number],Table1[Paid up])</f>
        <v>Y</v>
      </c>
      <c r="D38" s="39" t="str">
        <f>_xlfn.XLOOKUP(__xlnm._FilterDatabase_1510[[#This Row],[SAPSA Number]],Table1[SAPSA number],Table1[Name])</f>
        <v>Yussuf</v>
      </c>
      <c r="E38" s="39" t="str">
        <f>_xlfn.XLOOKUP(__xlnm._FilterDatabase_1510[[#This Row],[SAPSA Number]],Table1[SAPSA number],Table1[Surname])</f>
        <v>Mayet</v>
      </c>
      <c r="F38" s="20" t="str">
        <f>_xlfn.XLOOKUP(__xlnm._FilterDatabase_1510[[#This Row],[SAPSA Number]],Table1[SAPSA number],Table1[Initials])</f>
        <v>Y</v>
      </c>
      <c r="G38" s="17" t="str">
        <f ca="1">_xlfn.XLOOKUP(__xlnm._FilterDatabase_1510[[#This Row],[SAPSA Number]],Table1[SAPSA number],Table1[Gender])</f>
        <v>GS</v>
      </c>
      <c r="H38" s="19" t="e">
        <f>_xlfn.XLOOKUP(__xlnm._FilterDatabase_1510[[#This Row],[SAPSA Number]],#REF!,#REF!)</f>
        <v>#REF!</v>
      </c>
      <c r="I38" s="19" t="s">
        <v>239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3</v>
      </c>
      <c r="B39" s="25">
        <v>851</v>
      </c>
      <c r="C39" s="25" t="str">
        <f>_xlfn.XLOOKUP(__xlnm._FilterDatabase_1510[[#This Row],[SAPSA Number]],Table1[SAPSA number],Table1[Paid up])</f>
        <v>Y</v>
      </c>
      <c r="D39" s="39" t="str">
        <f>_xlfn.XLOOKUP(__xlnm._FilterDatabase_1510[[#This Row],[SAPSA Number]],Table1[SAPSA number],Table1[Name])</f>
        <v>Ian David</v>
      </c>
      <c r="E39" s="39" t="str">
        <f>_xlfn.XLOOKUP(__xlnm._FilterDatabase_1510[[#This Row],[SAPSA Number]],Table1[SAPSA number],Table1[Surname])</f>
        <v>McLaren</v>
      </c>
      <c r="F39" s="20" t="str">
        <f>_xlfn.XLOOKUP(__xlnm._FilterDatabase_1510[[#This Row],[SAPSA Number]],Table1[SAPSA number],Table1[Initials])</f>
        <v>ID</v>
      </c>
      <c r="G39" s="17" t="str">
        <f ca="1">_xlfn.XLOOKUP(__xlnm._FilterDatabase_1510[[#This Row],[SAPSA Number]],Table1[SAPSA number],Table1[Gender])</f>
        <v>SS</v>
      </c>
      <c r="H39" s="19" t="e">
        <f>_xlfn.XLOOKUP(__xlnm._FilterDatabase_1510[[#This Row],[SAPSA Number]],#REF!,#REF!)</f>
        <v>#REF!</v>
      </c>
      <c r="I39" s="19" t="s">
        <v>239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3</v>
      </c>
      <c r="B40" s="18">
        <v>5200</v>
      </c>
      <c r="C40" s="100">
        <f>_xlfn.XLOOKUP(__xlnm._FilterDatabase_1510[[#This Row],[SAPSA Number]],Table1[SAPSA number],Table1[Paid up])</f>
        <v>0</v>
      </c>
      <c r="D40" s="39" t="str">
        <f>_xlfn.XLOOKUP(__xlnm._FilterDatabase_1510[[#This Row],[SAPSA Number]],Table1[SAPSA number],Table1[Name])</f>
        <v>Daniel</v>
      </c>
      <c r="E40" s="39" t="str">
        <f>_xlfn.XLOOKUP(__xlnm._FilterDatabase_1510[[#This Row],[SAPSA Number]],Table1[SAPSA number],Table1[Surname])</f>
        <v>McWilliam</v>
      </c>
      <c r="F40" s="20" t="str">
        <f>_xlfn.XLOOKUP(__xlnm._FilterDatabase_1510[[#This Row],[SAPSA Number]],Table1[SAPSA number],Table1[Initials])</f>
        <v>D</v>
      </c>
      <c r="G40" s="17" t="str">
        <f ca="1">_xlfn.XLOOKUP(__xlnm._FilterDatabase_1510[[#This Row],[SAPSA Number]],Table1[SAPSA number],Table1[Gender])</f>
        <v xml:space="preserve"> </v>
      </c>
      <c r="H40" s="19" t="e">
        <f>_xlfn.XLOOKUP(__xlnm._FilterDatabase_1510[[#This Row],[SAPSA Number]],#REF!,#REF!)</f>
        <v>#REF!</v>
      </c>
      <c r="I40" s="19" t="s">
        <v>239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ref="A41:A66" si="6">RANK(K41,K$2:K$149,0)</f>
        <v>3</v>
      </c>
      <c r="B41" s="25">
        <v>1771</v>
      </c>
      <c r="C41" s="25" t="str">
        <f>_xlfn.XLOOKUP(__xlnm._FilterDatabase_1510[[#This Row],[SAPSA Number]],Table1[SAPSA number],Table1[Paid up])</f>
        <v>Y</v>
      </c>
      <c r="D41" s="39" t="str">
        <f>_xlfn.XLOOKUP(__xlnm._FilterDatabase_1510[[#This Row],[SAPSA Number]],Table1[SAPSA number],Table1[Name])</f>
        <v>Rodney Ralph</v>
      </c>
      <c r="E41" s="39" t="str">
        <f>_xlfn.XLOOKUP(__xlnm._FilterDatabase_1510[[#This Row],[SAPSA Number]],Table1[SAPSA number],Table1[Surname])</f>
        <v>Mills</v>
      </c>
      <c r="F41" s="20" t="str">
        <f>_xlfn.XLOOKUP(__xlnm._FilterDatabase_1510[[#This Row],[SAPSA Number]],Table1[SAPSA number],Table1[Initials])</f>
        <v>RR</v>
      </c>
      <c r="G41" s="17" t="str">
        <f ca="1">_xlfn.XLOOKUP(__xlnm._FilterDatabase_1510[[#This Row],[SAPSA Number]],Table1[SAPSA number],Table1[Gender])</f>
        <v>GS</v>
      </c>
      <c r="H41" s="19" t="e">
        <f>_xlfn.XLOOKUP(__xlnm._FilterDatabase_1510[[#This Row],[SAPSA Number]],#REF!,#REF!)</f>
        <v>#REF!</v>
      </c>
      <c r="I41" s="19" t="s">
        <v>239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 t="shared" si="6"/>
        <v>3</v>
      </c>
      <c r="B42" s="25">
        <v>1637</v>
      </c>
      <c r="C42" s="25">
        <f>_xlfn.XLOOKUP(__xlnm._FilterDatabase_1510[[#This Row],[SAPSA Number]],Table1[SAPSA number],Table1[Paid up])</f>
        <v>0</v>
      </c>
      <c r="D42" s="39" t="str">
        <f>_xlfn.XLOOKUP(__xlnm._FilterDatabase_1510[[#This Row],[SAPSA Number]],Table1[SAPSA number],Table1[Name])</f>
        <v>Andre Johann Pieter</v>
      </c>
      <c r="E42" s="39" t="str">
        <f>_xlfn.XLOOKUP(__xlnm._FilterDatabase_1510[[#This Row],[SAPSA Number]],Table1[SAPSA number],Table1[Surname])</f>
        <v>Mouton</v>
      </c>
      <c r="F42" s="20" t="str">
        <f>_xlfn.XLOOKUP(__xlnm._FilterDatabase_1510[[#This Row],[SAPSA Number]],Table1[SAPSA number],Table1[Initials])</f>
        <v>AJP</v>
      </c>
      <c r="G42" s="17" t="str">
        <f ca="1">_xlfn.XLOOKUP(__xlnm._FilterDatabase_1510[[#This Row],[SAPSA Number]],Table1[SAPSA number],Table1[Gender])</f>
        <v>GS</v>
      </c>
      <c r="H42" s="19" t="e">
        <f>_xlfn.XLOOKUP(__xlnm._FilterDatabase_1510[[#This Row],[SAPSA Number]],#REF!,#REF!)</f>
        <v>#REF!</v>
      </c>
      <c r="I42" s="19" t="s">
        <v>239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6"/>
        <v>3</v>
      </c>
      <c r="B43" s="40">
        <v>1777</v>
      </c>
      <c r="C43" s="25" t="str">
        <f>_xlfn.XLOOKUP(__xlnm._FilterDatabase_1510[[#This Row],[SAPSA Number]],Table1[SAPSA number],Table1[Paid up])</f>
        <v>Y</v>
      </c>
      <c r="D43" s="39" t="str">
        <f>_xlfn.XLOOKUP(__xlnm._FilterDatabase_1510[[#This Row],[SAPSA Number]],Table1[SAPSA number],Table1[Name])</f>
        <v xml:space="preserve">Leon </v>
      </c>
      <c r="E43" s="39" t="str">
        <f>_xlfn.XLOOKUP(__xlnm._FilterDatabase_1510[[#This Row],[SAPSA Number]],Table1[SAPSA number],Table1[Surname])</f>
        <v>Myburgh</v>
      </c>
      <c r="F43" s="20" t="str">
        <f>_xlfn.XLOOKUP(__xlnm._FilterDatabase_1510[[#This Row],[SAPSA Number]],Table1[SAPSA number],Table1[Initials])</f>
        <v>LC</v>
      </c>
      <c r="G43" s="17" t="str">
        <f ca="1">_xlfn.XLOOKUP(__xlnm._FilterDatabase_1510[[#This Row],[SAPSA Number]],Table1[SAPSA number],Table1[Gender])</f>
        <v>S</v>
      </c>
      <c r="H43" s="19" t="e">
        <f>_xlfn.XLOOKUP(__xlnm._FilterDatabase_1510[[#This Row],[SAPSA Number]],#REF!,#REF!)</f>
        <v>#REF!</v>
      </c>
      <c r="I43" s="19" t="s">
        <v>239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6"/>
        <v>3</v>
      </c>
      <c r="B44" s="25">
        <v>250</v>
      </c>
      <c r="C44" s="25">
        <f>_xlfn.XLOOKUP(__xlnm._FilterDatabase_1510[[#This Row],[SAPSA Number]],Table1[SAPSA number],Table1[Paid up])</f>
        <v>0</v>
      </c>
      <c r="D44" s="39" t="str">
        <f>_xlfn.XLOOKUP(__xlnm._FilterDatabase_1510[[#This Row],[SAPSA Number]],Table1[SAPSA number],Table1[Name])</f>
        <v>Adriano Walter</v>
      </c>
      <c r="E44" s="39" t="str">
        <f>_xlfn.XLOOKUP(__xlnm._FilterDatabase_1510[[#This Row],[SAPSA Number]],Table1[SAPSA number],Table1[Surname])</f>
        <v>Paschini</v>
      </c>
      <c r="F44" s="20" t="str">
        <f>_xlfn.XLOOKUP(__xlnm._FilterDatabase_1510[[#This Row],[SAPSA Number]],Table1[SAPSA number],Table1[Initials])</f>
        <v>AW</v>
      </c>
      <c r="G44" s="17" t="str">
        <f ca="1">_xlfn.XLOOKUP(__xlnm._FilterDatabase_1510[[#This Row],[SAPSA Number]],Table1[SAPSA number],Table1[Gender])</f>
        <v>SS</v>
      </c>
      <c r="H44" s="19" t="e">
        <f>_xlfn.XLOOKUP(__xlnm._FilterDatabase_1510[[#This Row],[SAPSA Number]],#REF!,#REF!)</f>
        <v>#REF!</v>
      </c>
      <c r="I44" s="19" t="s">
        <v>239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6"/>
        <v>3</v>
      </c>
      <c r="B45" s="26">
        <v>6633</v>
      </c>
      <c r="C45" s="25">
        <f>_xlfn.XLOOKUP(__xlnm._FilterDatabase_1510[[#This Row],[SAPSA Number]],Table1[SAPSA number],Table1[Paid up])</f>
        <v>0</v>
      </c>
      <c r="D45" s="39" t="str">
        <f>_xlfn.XLOOKUP(__xlnm._FilterDatabase_1510[[#This Row],[SAPSA Number]],Table1[SAPSA number],Table1[Name])</f>
        <v>Allessandro Raffaele</v>
      </c>
      <c r="E45" s="39" t="str">
        <f>_xlfn.XLOOKUP(__xlnm._FilterDatabase_1510[[#This Row],[SAPSA Number]],Table1[SAPSA number],Table1[Surname])</f>
        <v>Paschini</v>
      </c>
      <c r="F45" s="20" t="str">
        <f>_xlfn.XLOOKUP(__xlnm._FilterDatabase_1510[[#This Row],[SAPSA Number]],Table1[SAPSA number],Table1[Initials])</f>
        <v>AR</v>
      </c>
      <c r="G45" s="17" t="str">
        <f ca="1">_xlfn.XLOOKUP(__xlnm._FilterDatabase_1510[[#This Row],[SAPSA Number]],Table1[SAPSA number],Table1[Gender])</f>
        <v xml:space="preserve"> </v>
      </c>
      <c r="H45" s="19" t="e">
        <f>_xlfn.XLOOKUP(__xlnm._FilterDatabase_1510[[#This Row],[SAPSA Number]],#REF!,#REF!)</f>
        <v>#REF!</v>
      </c>
      <c r="I45" s="19" t="s">
        <v>239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6"/>
        <v>3</v>
      </c>
      <c r="B46" s="40">
        <v>7478</v>
      </c>
      <c r="C46" s="25">
        <f>_xlfn.XLOOKUP(__xlnm._FilterDatabase_1510[[#This Row],[SAPSA Number]],Table1[SAPSA number],Table1[Paid up])</f>
        <v>0</v>
      </c>
      <c r="D46" s="39" t="str">
        <f>_xlfn.XLOOKUP(__xlnm._FilterDatabase_1510[[#This Row],[SAPSA Number]],Table1[SAPSA number],Table1[Name])</f>
        <v>Annemarie</v>
      </c>
      <c r="E46" s="39" t="str">
        <f>_xlfn.XLOOKUP(__xlnm._FilterDatabase_1510[[#This Row],[SAPSA Number]],Table1[SAPSA number],Table1[Surname])</f>
        <v>Pienaar</v>
      </c>
      <c r="F46" s="20" t="str">
        <f>_xlfn.XLOOKUP(__xlnm._FilterDatabase_1510[[#This Row],[SAPSA Number]],Table1[SAPSA number],Table1[Initials])</f>
        <v>A</v>
      </c>
      <c r="G46" s="17" t="str">
        <f>_xlfn.XLOOKUP(__xlnm._FilterDatabase_1510[[#This Row],[SAPSA Number]],Table1[SAPSA number],Table1[Gender])</f>
        <v>Lady</v>
      </c>
      <c r="H46" s="19" t="e">
        <f>_xlfn.XLOOKUP(__xlnm._FilterDatabase_1510[[#This Row],[SAPSA Number]],#REF!,#REF!)</f>
        <v>#REF!</v>
      </c>
      <c r="I46" s="19" t="s">
        <v>239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6"/>
        <v>3</v>
      </c>
      <c r="B47" s="25">
        <v>2950</v>
      </c>
      <c r="C47" s="25">
        <f>_xlfn.XLOOKUP(__xlnm._FilterDatabase_1510[[#This Row],[SAPSA Number]],Table1[SAPSA number],Table1[Paid up])</f>
        <v>0</v>
      </c>
      <c r="D47" s="39" t="str">
        <f>_xlfn.XLOOKUP(__xlnm._FilterDatabase_1510[[#This Row],[SAPSA Number]],Table1[SAPSA number],Table1[Name])</f>
        <v>Renier Jansen</v>
      </c>
      <c r="E47" s="39" t="str">
        <f>_xlfn.XLOOKUP(__xlnm._FilterDatabase_1510[[#This Row],[SAPSA Number]],Table1[SAPSA number],Table1[Surname])</f>
        <v>Reynders</v>
      </c>
      <c r="F47" s="20" t="str">
        <f>_xlfn.XLOOKUP(__xlnm._FilterDatabase_1510[[#This Row],[SAPSA Number]],Table1[SAPSA number],Table1[Initials])</f>
        <v>RJ</v>
      </c>
      <c r="G47" s="17" t="str">
        <f ca="1">_xlfn.XLOOKUP(__xlnm._FilterDatabase_1510[[#This Row],[SAPSA Number]],Table1[SAPSA number],Table1[Gender])</f>
        <v xml:space="preserve"> </v>
      </c>
      <c r="H47" s="19" t="e">
        <f>_xlfn.XLOOKUP(__xlnm._FilterDatabase_1510[[#This Row],[SAPSA Number]],#REF!,#REF!)</f>
        <v>#REF!</v>
      </c>
      <c r="I47" s="19" t="s">
        <v>239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 t="shared" si="6"/>
        <v>3</v>
      </c>
      <c r="B48" s="25">
        <v>1929</v>
      </c>
      <c r="C48" s="25">
        <f>_xlfn.XLOOKUP(__xlnm._FilterDatabase_1510[[#This Row],[SAPSA Number]],Table1[SAPSA number],Table1[Paid up])</f>
        <v>0</v>
      </c>
      <c r="D48" s="39" t="str">
        <f>_xlfn.XLOOKUP(__xlnm._FilterDatabase_1510[[#This Row],[SAPSA Number]],Table1[SAPSA number],Table1[Name])</f>
        <v>Chris</v>
      </c>
      <c r="E48" s="39" t="str">
        <f>_xlfn.XLOOKUP(__xlnm._FilterDatabase_1510[[#This Row],[SAPSA Number]],Table1[SAPSA number],Table1[Surname])</f>
        <v>Ridout</v>
      </c>
      <c r="F48" s="20" t="str">
        <f>_xlfn.XLOOKUP(__xlnm._FilterDatabase_1510[[#This Row],[SAPSA Number]],Table1[SAPSA number],Table1[Initials])</f>
        <v>CJ</v>
      </c>
      <c r="G48" s="17" t="str">
        <f ca="1">_xlfn.XLOOKUP(__xlnm._FilterDatabase_1510[[#This Row],[SAPSA Number]],Table1[SAPSA number],Table1[Gender])</f>
        <v xml:space="preserve"> </v>
      </c>
      <c r="H48" s="19" t="e">
        <f>_xlfn.XLOOKUP(__xlnm._FilterDatabase_1510[[#This Row],[SAPSA Number]],#REF!,#REF!)</f>
        <v>#REF!</v>
      </c>
      <c r="I48" s="19" t="s">
        <v>239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6"/>
        <v>3</v>
      </c>
      <c r="B49" s="25">
        <v>3822</v>
      </c>
      <c r="C49" s="25" t="str">
        <f>_xlfn.XLOOKUP(__xlnm._FilterDatabase_1510[[#This Row],[SAPSA Number]],Table1[SAPSA number],Table1[Paid up])</f>
        <v>Y</v>
      </c>
      <c r="D49" s="39" t="str">
        <f>_xlfn.XLOOKUP(__xlnm._FilterDatabase_1510[[#This Row],[SAPSA Number]],Table1[SAPSA number],Table1[Name])</f>
        <v>Wayne Erald</v>
      </c>
      <c r="E49" s="39" t="str">
        <f>_xlfn.XLOOKUP(__xlnm._FilterDatabase_1510[[#This Row],[SAPSA Number]],Table1[SAPSA number],Table1[Surname])</f>
        <v>Schmidt</v>
      </c>
      <c r="F49" s="20" t="str">
        <f>_xlfn.XLOOKUP(__xlnm._FilterDatabase_1510[[#This Row],[SAPSA Number]],Table1[SAPSA number],Table1[Initials])</f>
        <v>WE</v>
      </c>
      <c r="G49" s="17" t="str">
        <f ca="1">_xlfn.XLOOKUP(__xlnm._FilterDatabase_1510[[#This Row],[SAPSA Number]],Table1[SAPSA number],Table1[Gender])</f>
        <v>S</v>
      </c>
      <c r="H49" s="19" t="e">
        <f>_xlfn.XLOOKUP(__xlnm._FilterDatabase_1510[[#This Row],[SAPSA Number]],#REF!,#REF!)</f>
        <v>#REF!</v>
      </c>
      <c r="I49" s="19" t="s">
        <v>239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6"/>
        <v>3</v>
      </c>
      <c r="B50" s="26">
        <v>4966</v>
      </c>
      <c r="C50" s="25" t="str">
        <f>_xlfn.XLOOKUP(__xlnm._FilterDatabase_1510[[#This Row],[SAPSA Number]],Table1[SAPSA number],Table1[Paid up])</f>
        <v>Y</v>
      </c>
      <c r="D50" s="39" t="str">
        <f>_xlfn.XLOOKUP(__xlnm._FilterDatabase_1510[[#This Row],[SAPSA Number]],Table1[SAPSA number],Table1[Name])</f>
        <v>Costantinos</v>
      </c>
      <c r="E50" s="39" t="str">
        <f>_xlfn.XLOOKUP(__xlnm._FilterDatabase_1510[[#This Row],[SAPSA Number]],Table1[SAPSA number],Table1[Surname])</f>
        <v>Seindis</v>
      </c>
      <c r="F50" s="20" t="str">
        <f>_xlfn.XLOOKUP(__xlnm._FilterDatabase_1510[[#This Row],[SAPSA Number]],Table1[SAPSA number],Table1[Initials])</f>
        <v>C</v>
      </c>
      <c r="G50" s="17" t="str">
        <f ca="1">_xlfn.XLOOKUP(__xlnm._FilterDatabase_1510[[#This Row],[SAPSA Number]],Table1[SAPSA number],Table1[Gender])</f>
        <v xml:space="preserve"> </v>
      </c>
      <c r="H50" s="19" t="e">
        <f>_xlfn.XLOOKUP(__xlnm._FilterDatabase_1510[[#This Row],[SAPSA Number]],#REF!,#REF!)</f>
        <v>#REF!</v>
      </c>
      <c r="I50" s="19" t="s">
        <v>239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6"/>
        <v>3</v>
      </c>
      <c r="B51" s="26">
        <v>572</v>
      </c>
      <c r="C51" s="25" t="str">
        <f>_xlfn.XLOOKUP(__xlnm._FilterDatabase_1510[[#This Row],[SAPSA Number]],Table1[SAPSA number],Table1[Paid up])</f>
        <v>Y</v>
      </c>
      <c r="D51" s="39" t="str">
        <f>_xlfn.XLOOKUP(__xlnm._FilterDatabase_1510[[#This Row],[SAPSA Number]],Table1[SAPSA number],Table1[Name])</f>
        <v>DJ</v>
      </c>
      <c r="E51" s="39" t="str">
        <f>_xlfn.XLOOKUP(__xlnm._FilterDatabase_1510[[#This Row],[SAPSA Number]],Table1[SAPSA number],Table1[Surname])</f>
        <v>Smith</v>
      </c>
      <c r="F51" s="20" t="str">
        <f>_xlfn.XLOOKUP(__xlnm._FilterDatabase_1510[[#This Row],[SAPSA Number]],Table1[SAPSA number],Table1[Initials])</f>
        <v>DJ</v>
      </c>
      <c r="G51" s="17" t="str">
        <f ca="1">_xlfn.XLOOKUP(__xlnm._FilterDatabase_1510[[#This Row],[SAPSA Number]],Table1[SAPSA number],Table1[Gender])</f>
        <v>SS</v>
      </c>
      <c r="H51" s="19" t="e">
        <f>_xlfn.XLOOKUP(__xlnm._FilterDatabase_1510[[#This Row],[SAPSA Number]],#REF!,#REF!)</f>
        <v>#REF!</v>
      </c>
      <c r="I51" s="19" t="s">
        <v>239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6"/>
        <v>3</v>
      </c>
      <c r="B52" s="25">
        <v>1321</v>
      </c>
      <c r="C52" s="25">
        <f>_xlfn.XLOOKUP(__xlnm._FilterDatabase_1510[[#This Row],[SAPSA Number]],Table1[SAPSA number],Table1[Paid up])</f>
        <v>0</v>
      </c>
      <c r="D52" s="39" t="str">
        <f>_xlfn.XLOOKUP(__xlnm._FilterDatabase_1510[[#This Row],[SAPSA Number]],Table1[SAPSA number],Table1[Name])</f>
        <v>Neal Monisen</v>
      </c>
      <c r="E52" s="39" t="str">
        <f>_xlfn.XLOOKUP(__xlnm._FilterDatabase_1510[[#This Row],[SAPSA Number]],Table1[SAPSA number],Table1[Surname])</f>
        <v>Sokay</v>
      </c>
      <c r="F52" s="20" t="str">
        <f>_xlfn.XLOOKUP(__xlnm._FilterDatabase_1510[[#This Row],[SAPSA Number]],Table1[SAPSA number],Table1[Initials])</f>
        <v>NM</v>
      </c>
      <c r="G52" s="17" t="str">
        <f ca="1">_xlfn.XLOOKUP(__xlnm._FilterDatabase_1510[[#This Row],[SAPSA Number]],Table1[SAPSA number],Table1[Gender])</f>
        <v>S</v>
      </c>
      <c r="H52" s="19" t="e">
        <f>_xlfn.XLOOKUP(__xlnm._FilterDatabase_1510[[#This Row],[SAPSA Number]],#REF!,#REF!)</f>
        <v>#REF!</v>
      </c>
      <c r="I52" s="19" t="s">
        <v>239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6"/>
        <v>3</v>
      </c>
      <c r="B53" s="25">
        <v>3832</v>
      </c>
      <c r="C53" s="25" t="str">
        <f>_xlfn.XLOOKUP(__xlnm._FilterDatabase_1510[[#This Row],[SAPSA Number]],Table1[SAPSA number],Table1[Paid up])</f>
        <v>Y</v>
      </c>
      <c r="D53" s="39" t="str">
        <f>_xlfn.XLOOKUP(__xlnm._FilterDatabase_1510[[#This Row],[SAPSA Number]],Table1[SAPSA number],Table1[Name])</f>
        <v>Dion Rowlands</v>
      </c>
      <c r="E53" s="39" t="str">
        <f>_xlfn.XLOOKUP(__xlnm._FilterDatabase_1510[[#This Row],[SAPSA Number]],Table1[SAPSA number],Table1[Surname])</f>
        <v>Stead</v>
      </c>
      <c r="F53" s="20" t="str">
        <f>_xlfn.XLOOKUP(__xlnm._FilterDatabase_1510[[#This Row],[SAPSA Number]],Table1[SAPSA number],Table1[Initials])</f>
        <v>DR</v>
      </c>
      <c r="G53" s="17" t="str">
        <f ca="1">_xlfn.XLOOKUP(__xlnm._FilterDatabase_1510[[#This Row],[SAPSA Number]],Table1[SAPSA number],Table1[Gender])</f>
        <v>S</v>
      </c>
      <c r="H53" s="19" t="e">
        <f>_xlfn.XLOOKUP(__xlnm._FilterDatabase_1510[[#This Row],[SAPSA Number]],#REF!,#REF!)</f>
        <v>#REF!</v>
      </c>
      <c r="I53" s="19" t="s">
        <v>239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6"/>
        <v>3</v>
      </c>
      <c r="B54" s="26">
        <v>4858</v>
      </c>
      <c r="C54" s="25" t="str">
        <f>_xlfn.XLOOKUP(__xlnm._FilterDatabase_1510[[#This Row],[SAPSA Number]],Table1[SAPSA number],Table1[Paid up])</f>
        <v>Y</v>
      </c>
      <c r="D54" s="39" t="str">
        <f>_xlfn.XLOOKUP(__xlnm._FilterDatabase_1510[[#This Row],[SAPSA Number]],Table1[SAPSA number],Table1[Name])</f>
        <v>Jacques</v>
      </c>
      <c r="E54" s="39" t="str">
        <f>_xlfn.XLOOKUP(__xlnm._FilterDatabase_1510[[#This Row],[SAPSA Number]],Table1[SAPSA number],Table1[Surname])</f>
        <v>Swanepoel</v>
      </c>
      <c r="F54" s="20" t="str">
        <f>_xlfn.XLOOKUP(__xlnm._FilterDatabase_1510[[#This Row],[SAPSA Number]],Table1[SAPSA number],Table1[Initials])</f>
        <v>J</v>
      </c>
      <c r="G54" s="17" t="str">
        <f ca="1">_xlfn.XLOOKUP(__xlnm._FilterDatabase_1510[[#This Row],[SAPSA Number]],Table1[SAPSA number],Table1[Gender])</f>
        <v xml:space="preserve"> </v>
      </c>
      <c r="H54" s="19" t="e">
        <f>_xlfn.XLOOKUP(__xlnm._FilterDatabase_1510[[#This Row],[SAPSA Number]],#REF!,#REF!)</f>
        <v>#REF!</v>
      </c>
      <c r="I54" s="19" t="s">
        <v>239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6"/>
        <v>3</v>
      </c>
      <c r="B55" s="25">
        <v>1113</v>
      </c>
      <c r="C55" s="25" t="str">
        <f>_xlfn.XLOOKUP(__xlnm._FilterDatabase_1510[[#This Row],[SAPSA Number]],Table1[SAPSA number],Table1[Paid up])</f>
        <v>Y</v>
      </c>
      <c r="D55" s="39" t="str">
        <f>_xlfn.XLOOKUP(__xlnm._FilterDatabase_1510[[#This Row],[SAPSA Number]],Table1[SAPSA number],Table1[Name])</f>
        <v>Frik</v>
      </c>
      <c r="E55" s="39" t="str">
        <f>_xlfn.XLOOKUP(__xlnm._FilterDatabase_1510[[#This Row],[SAPSA Number]],Table1[SAPSA number],Table1[Surname])</f>
        <v>Truter</v>
      </c>
      <c r="F55" s="20" t="str">
        <f>_xlfn.XLOOKUP(__xlnm._FilterDatabase_1510[[#This Row],[SAPSA Number]],Table1[SAPSA number],Table1[Initials])</f>
        <v>FC</v>
      </c>
      <c r="G55" s="17" t="str">
        <f ca="1">_xlfn.XLOOKUP(__xlnm._FilterDatabase_1510[[#This Row],[SAPSA Number]],Table1[SAPSA number],Table1[Gender])</f>
        <v>SS</v>
      </c>
      <c r="H55" s="19" t="e">
        <f>_xlfn.XLOOKUP(__xlnm._FilterDatabase_1510[[#This Row],[SAPSA Number]],#REF!,#REF!)</f>
        <v>#REF!</v>
      </c>
      <c r="I55" s="19" t="s">
        <v>239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6"/>
        <v>3</v>
      </c>
      <c r="B56" s="25">
        <v>4672</v>
      </c>
      <c r="C56" s="25" t="str">
        <f>_xlfn.XLOOKUP(__xlnm._FilterDatabase_1510[[#This Row],[SAPSA Number]],Table1[SAPSA number],Table1[Paid up])</f>
        <v>Y</v>
      </c>
      <c r="D56" s="39" t="str">
        <f>_xlfn.XLOOKUP(__xlnm._FilterDatabase_1510[[#This Row],[SAPSA Number]],Table1[SAPSA number],Table1[Name])</f>
        <v>Frederick John</v>
      </c>
      <c r="E56" s="39" t="str">
        <f>_xlfn.XLOOKUP(__xlnm._FilterDatabase_1510[[#This Row],[SAPSA Number]],Table1[SAPSA number],Table1[Surname])</f>
        <v>Turnbull</v>
      </c>
      <c r="F56" s="20" t="str">
        <f>_xlfn.XLOOKUP(__xlnm._FilterDatabase_1510[[#This Row],[SAPSA Number]],Table1[SAPSA number],Table1[Initials])</f>
        <v>FJ</v>
      </c>
      <c r="G56" s="17" t="str">
        <f ca="1">_xlfn.XLOOKUP(__xlnm._FilterDatabase_1510[[#This Row],[SAPSA Number]],Table1[SAPSA number],Table1[Gender])</f>
        <v>SS</v>
      </c>
      <c r="H56" s="19" t="e">
        <f>_xlfn.XLOOKUP(__xlnm._FilterDatabase_1510[[#This Row],[SAPSA Number]],#REF!,#REF!)</f>
        <v>#REF!</v>
      </c>
      <c r="I56" s="19" t="s">
        <v>239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6"/>
        <v>3</v>
      </c>
      <c r="B57" s="25">
        <v>1931</v>
      </c>
      <c r="C57" s="25">
        <f>_xlfn.XLOOKUP(__xlnm._FilterDatabase_1510[[#This Row],[SAPSA Number]],Table1[SAPSA number],Table1[Paid up])</f>
        <v>0</v>
      </c>
      <c r="D57" s="39" t="str">
        <f>_xlfn.XLOOKUP(__xlnm._FilterDatabase_1510[[#This Row],[SAPSA Number]],Table1[SAPSA number],Table1[Name])</f>
        <v>Sylvia</v>
      </c>
      <c r="E57" s="39" t="str">
        <f>_xlfn.XLOOKUP(__xlnm._FilterDatabase_1510[[#This Row],[SAPSA Number]],Table1[SAPSA number],Table1[Surname])</f>
        <v>Van der Neut</v>
      </c>
      <c r="F57" s="20" t="str">
        <f>_xlfn.XLOOKUP(__xlnm._FilterDatabase_1510[[#This Row],[SAPSA Number]],Table1[SAPSA number],Table1[Initials])</f>
        <v>S</v>
      </c>
      <c r="G57" s="17" t="str">
        <f>_xlfn.XLOOKUP(__xlnm._FilterDatabase_1510[[#This Row],[SAPSA Number]],Table1[SAPSA number],Table1[Gender])</f>
        <v>Lady</v>
      </c>
      <c r="H57" s="19" t="e">
        <f>_xlfn.XLOOKUP(__xlnm._FilterDatabase_1510[[#This Row],[SAPSA Number]],#REF!,#REF!)</f>
        <v>#REF!</v>
      </c>
      <c r="I57" s="19" t="s">
        <v>239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25" customHeight="1" x14ac:dyDescent="0.3">
      <c r="A58" s="17">
        <f t="shared" si="6"/>
        <v>3</v>
      </c>
      <c r="B58" s="25">
        <v>5616</v>
      </c>
      <c r="C58" s="25">
        <f>_xlfn.XLOOKUP(__xlnm._FilterDatabase_1510[[#This Row],[SAPSA Number]],Table1[SAPSA number],Table1[Paid up])</f>
        <v>0</v>
      </c>
      <c r="D58" s="39" t="str">
        <f>_xlfn.XLOOKUP(__xlnm._FilterDatabase_1510[[#This Row],[SAPSA Number]],Table1[SAPSA number],Table1[Name])</f>
        <v>Cornelis Herman</v>
      </c>
      <c r="E58" s="39" t="str">
        <f>_xlfn.XLOOKUP(__xlnm._FilterDatabase_1510[[#This Row],[SAPSA Number]],Table1[SAPSA number],Table1[Surname])</f>
        <v>van Driel</v>
      </c>
      <c r="F58" s="20" t="str">
        <f>_xlfn.XLOOKUP(__xlnm._FilterDatabase_1510[[#This Row],[SAPSA Number]],Table1[SAPSA number],Table1[Initials])</f>
        <v>CH</v>
      </c>
      <c r="G58" s="17" t="str">
        <f ca="1">_xlfn.XLOOKUP(__xlnm._FilterDatabase_1510[[#This Row],[SAPSA Number]],Table1[SAPSA number],Table1[Gender])</f>
        <v xml:space="preserve"> </v>
      </c>
      <c r="H58" s="19" t="e">
        <f>_xlfn.XLOOKUP(__xlnm._FilterDatabase_1510[[#This Row],[SAPSA Number]],#REF!,#REF!)</f>
        <v>#REF!</v>
      </c>
      <c r="I58" s="19" t="s">
        <v>239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6"/>
        <v>3</v>
      </c>
      <c r="B59" s="40">
        <v>6564</v>
      </c>
      <c r="C59" s="25" t="str">
        <f>_xlfn.XLOOKUP(__xlnm._FilterDatabase_1510[[#This Row],[SAPSA Number]],Table1[SAPSA number],Table1[Paid up])</f>
        <v>Y</v>
      </c>
      <c r="D59" s="39" t="str">
        <f>_xlfn.XLOOKUP(__xlnm._FilterDatabase_1510[[#This Row],[SAPSA Number]],Table1[SAPSA number],Table1[Name])</f>
        <v>Kwimton Schalk</v>
      </c>
      <c r="E59" s="39" t="str">
        <f>_xlfn.XLOOKUP(__xlnm._FilterDatabase_1510[[#This Row],[SAPSA Number]],Table1[SAPSA number],Table1[Surname])</f>
        <v>van Jaarsveld</v>
      </c>
      <c r="F59" s="20" t="str">
        <f>_xlfn.XLOOKUP(__xlnm._FilterDatabase_1510[[#This Row],[SAPSA Number]],Table1[SAPSA number],Table1[Initials])</f>
        <v>KS</v>
      </c>
      <c r="G59" s="17" t="str">
        <f ca="1">_xlfn.XLOOKUP(__xlnm._FilterDatabase_1510[[#This Row],[SAPSA Number]],Table1[SAPSA number],Table1[Gender])</f>
        <v xml:space="preserve"> </v>
      </c>
      <c r="H59" s="19" t="e">
        <f>_xlfn.XLOOKUP(__xlnm._FilterDatabase_1510[[#This Row],[SAPSA Number]],#REF!,#REF!)</f>
        <v>#REF!</v>
      </c>
      <c r="I59" s="19" t="s">
        <v>239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6"/>
        <v>3</v>
      </c>
      <c r="B60" s="25">
        <v>5262</v>
      </c>
      <c r="C60" s="25" t="str">
        <f>_xlfn.XLOOKUP(__xlnm._FilterDatabase_1510[[#This Row],[SAPSA Number]],Table1[SAPSA number],Table1[Paid up])</f>
        <v>Y</v>
      </c>
      <c r="D60" s="39" t="str">
        <f>_xlfn.XLOOKUP(__xlnm._FilterDatabase_1510[[#This Row],[SAPSA Number]],Table1[SAPSA number],Table1[Name])</f>
        <v>Andre</v>
      </c>
      <c r="E60" s="39" t="str">
        <f>_xlfn.XLOOKUP(__xlnm._FilterDatabase_1510[[#This Row],[SAPSA Number]],Table1[SAPSA number],Table1[Surname])</f>
        <v>van Rooyen</v>
      </c>
      <c r="F60" s="20" t="str">
        <f>_xlfn.XLOOKUP(__xlnm._FilterDatabase_1510[[#This Row],[SAPSA Number]],Table1[SAPSA number],Table1[Initials])</f>
        <v>A</v>
      </c>
      <c r="G60" s="17" t="str">
        <f ca="1">_xlfn.XLOOKUP(__xlnm._FilterDatabase_1510[[#This Row],[SAPSA Number]],Table1[SAPSA number],Table1[Gender])</f>
        <v xml:space="preserve"> </v>
      </c>
      <c r="H60" s="19" t="e">
        <f>_xlfn.XLOOKUP(__xlnm._FilterDatabase_1510[[#This Row],[SAPSA Number]],#REF!,#REF!)</f>
        <v>#REF!</v>
      </c>
      <c r="I60" s="19" t="s">
        <v>239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6"/>
        <v>3</v>
      </c>
      <c r="B61" s="25">
        <v>5971</v>
      </c>
      <c r="C61" s="25">
        <f>_xlfn.XLOOKUP(__xlnm._FilterDatabase_1510[[#This Row],[SAPSA Number]],Table1[SAPSA number],Table1[Paid up])</f>
        <v>0</v>
      </c>
      <c r="D61" s="39" t="str">
        <f>_xlfn.XLOOKUP(__xlnm._FilterDatabase_1510[[#This Row],[SAPSA Number]],Table1[SAPSA number],Table1[Name])</f>
        <v>Hendrik</v>
      </c>
      <c r="E61" s="39" t="str">
        <f>_xlfn.XLOOKUP(__xlnm._FilterDatabase_1510[[#This Row],[SAPSA Number]],Table1[SAPSA number],Table1[Surname])</f>
        <v>van Rooyen</v>
      </c>
      <c r="F61" s="20" t="str">
        <f>_xlfn.XLOOKUP(__xlnm._FilterDatabase_1510[[#This Row],[SAPSA Number]],Table1[SAPSA number],Table1[Initials])</f>
        <v>H</v>
      </c>
      <c r="G61" s="17" t="str">
        <f ca="1">_xlfn.XLOOKUP(__xlnm._FilterDatabase_1510[[#This Row],[SAPSA Number]],Table1[SAPSA number],Table1[Gender])</f>
        <v>S</v>
      </c>
      <c r="H61" s="19" t="e">
        <f>_xlfn.XLOOKUP(__xlnm._FilterDatabase_1510[[#This Row],[SAPSA Number]],#REF!,#REF!)</f>
        <v>#REF!</v>
      </c>
      <c r="I61" s="19" t="s">
        <v>239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6"/>
        <v>3</v>
      </c>
      <c r="B62" s="25">
        <v>2051</v>
      </c>
      <c r="C62" s="25" t="str">
        <f>_xlfn.XLOOKUP(__xlnm._FilterDatabase_1510[[#This Row],[SAPSA Number]],Table1[SAPSA number],Table1[Paid up])</f>
        <v>Y</v>
      </c>
      <c r="D62" s="39" t="str">
        <f>_xlfn.XLOOKUP(__xlnm._FilterDatabase_1510[[#This Row],[SAPSA Number]],Table1[SAPSA number],Table1[Name])</f>
        <v>Simon Adriaan</v>
      </c>
      <c r="E62" s="39" t="str">
        <f>_xlfn.XLOOKUP(__xlnm._FilterDatabase_1510[[#This Row],[SAPSA Number]],Table1[SAPSA number],Table1[Surname])</f>
        <v>Vermooten</v>
      </c>
      <c r="F62" s="20" t="str">
        <f>_xlfn.XLOOKUP(__xlnm._FilterDatabase_1510[[#This Row],[SAPSA Number]],Table1[SAPSA number],Table1[Initials])</f>
        <v>SA</v>
      </c>
      <c r="G62" s="17" t="str">
        <f ca="1">_xlfn.XLOOKUP(__xlnm._FilterDatabase_1510[[#This Row],[SAPSA Number]],Table1[SAPSA number],Table1[Gender])</f>
        <v>GS</v>
      </c>
      <c r="H62" s="19" t="e">
        <f>_xlfn.XLOOKUP(__xlnm._FilterDatabase_1510[[#This Row],[SAPSA Number]],#REF!,#REF!)</f>
        <v>#REF!</v>
      </c>
      <c r="I62" s="19" t="s">
        <v>239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6"/>
        <v>3</v>
      </c>
      <c r="B63" s="25">
        <v>2089</v>
      </c>
      <c r="C63" s="25" t="str">
        <f>_xlfn.XLOOKUP(__xlnm._FilterDatabase_1510[[#This Row],[SAPSA Number]],Table1[SAPSA number],Table1[Paid up])</f>
        <v>Y</v>
      </c>
      <c r="D63" s="39" t="str">
        <f>_xlfn.XLOOKUP(__xlnm._FilterDatabase_1510[[#This Row],[SAPSA Number]],Table1[SAPSA number],Table1[Name])</f>
        <v>Doané</v>
      </c>
      <c r="E63" s="39" t="str">
        <f>_xlfn.XLOOKUP(__xlnm._FilterDatabase_1510[[#This Row],[SAPSA Number]],Table1[SAPSA number],Table1[Surname])</f>
        <v>Vermooten</v>
      </c>
      <c r="F63" s="20" t="str">
        <f>_xlfn.XLOOKUP(__xlnm._FilterDatabase_1510[[#This Row],[SAPSA Number]],Table1[SAPSA number],Table1[Initials])</f>
        <v>D</v>
      </c>
      <c r="G63" s="17" t="str">
        <f ca="1">_xlfn.XLOOKUP(__xlnm._FilterDatabase_1510[[#This Row],[SAPSA Number]],Table1[SAPSA number],Table1[Gender])</f>
        <v xml:space="preserve"> </v>
      </c>
      <c r="H63" s="19" t="e">
        <f>_xlfn.XLOOKUP(__xlnm._FilterDatabase_1510[[#This Row],[SAPSA Number]],#REF!,#REF!)</f>
        <v>#REF!</v>
      </c>
      <c r="I63" s="19" t="s">
        <v>239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 t="shared" si="6"/>
        <v>3</v>
      </c>
      <c r="B64" s="40">
        <v>896</v>
      </c>
      <c r="C64" s="25" t="str">
        <f>_xlfn.XLOOKUP(__xlnm._FilterDatabase_1510[[#This Row],[SAPSA Number]],Table1[SAPSA number],Table1[Paid up])</f>
        <v>Y</v>
      </c>
      <c r="D64" s="39" t="str">
        <f>_xlfn.XLOOKUP(__xlnm._FilterDatabase_1510[[#This Row],[SAPSA Number]],Table1[SAPSA number],Table1[Name])</f>
        <v>Johannes Francois</v>
      </c>
      <c r="E64" s="39" t="str">
        <f>_xlfn.XLOOKUP(__xlnm._FilterDatabase_1510[[#This Row],[SAPSA Number]],Table1[SAPSA number],Table1[Surname])</f>
        <v>Wheeler</v>
      </c>
      <c r="F64" s="20" t="str">
        <f>_xlfn.XLOOKUP(__xlnm._FilterDatabase_1510[[#This Row],[SAPSA Number]],Table1[SAPSA number],Table1[Initials])</f>
        <v>JF</v>
      </c>
      <c r="G64" s="17" t="str">
        <f ca="1">_xlfn.XLOOKUP(__xlnm._FilterDatabase_1510[[#This Row],[SAPSA Number]],Table1[SAPSA number],Table1[Gender])</f>
        <v xml:space="preserve"> </v>
      </c>
      <c r="H64" s="19" t="e">
        <f>_xlfn.XLOOKUP(__xlnm._FilterDatabase_1510[[#This Row],[SAPSA Number]],#REF!,#REF!)</f>
        <v>#REF!</v>
      </c>
      <c r="I64" s="19" t="s">
        <v>239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 t="shared" si="6"/>
        <v>3</v>
      </c>
      <c r="B65" s="25">
        <v>1716</v>
      </c>
      <c r="C65" s="25" t="str">
        <f>_xlfn.XLOOKUP(__xlnm._FilterDatabase_1510[[#This Row],[SAPSA Number]],Table1[SAPSA number],Table1[Paid up])</f>
        <v>Y</v>
      </c>
      <c r="D65" s="39" t="str">
        <f>_xlfn.XLOOKUP(__xlnm._FilterDatabase_1510[[#This Row],[SAPSA Number]],Table1[SAPSA number],Table1[Name])</f>
        <v>Albert</v>
      </c>
      <c r="E65" s="39" t="str">
        <f>_xlfn.XLOOKUP(__xlnm._FilterDatabase_1510[[#This Row],[SAPSA Number]],Table1[SAPSA number],Table1[Surname])</f>
        <v>Wöcke</v>
      </c>
      <c r="F65" s="20" t="str">
        <f>_xlfn.XLOOKUP(__xlnm._FilterDatabase_1510[[#This Row],[SAPSA Number]],Table1[SAPSA number],Table1[Initials])</f>
        <v>A</v>
      </c>
      <c r="G65" s="17" t="str">
        <f ca="1">_xlfn.XLOOKUP(__xlnm._FilterDatabase_1510[[#This Row],[SAPSA Number]],Table1[SAPSA number],Table1[Gender])</f>
        <v>S</v>
      </c>
      <c r="H65" s="19" t="e">
        <f>_xlfn.XLOOKUP(__xlnm._FilterDatabase_1510[[#This Row],[SAPSA Number]],#REF!,#REF!)</f>
        <v>#REF!</v>
      </c>
      <c r="I65" s="19" t="s">
        <v>239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 t="shared" si="6"/>
        <v>3</v>
      </c>
      <c r="B66" s="25">
        <v>206</v>
      </c>
      <c r="C66" s="25">
        <f>_xlfn.XLOOKUP(__xlnm._FilterDatabase_1510[[#This Row],[SAPSA Number]],Table1[SAPSA number],Table1[Paid up])</f>
        <v>0</v>
      </c>
      <c r="D66" s="39" t="str">
        <f>_xlfn.XLOOKUP(__xlnm._FilterDatabase_1510[[#This Row],[SAPSA Number]],Table1[SAPSA number],Table1[Name])</f>
        <v>Pierre Dewald</v>
      </c>
      <c r="E66" s="39" t="str">
        <f>_xlfn.XLOOKUP(__xlnm._FilterDatabase_1510[[#This Row],[SAPSA Number]],Table1[SAPSA number],Table1[Surname])</f>
        <v>Wrogemann</v>
      </c>
      <c r="F66" s="20" t="str">
        <f>_xlfn.XLOOKUP(__xlnm._FilterDatabase_1510[[#This Row],[SAPSA Number]],Table1[SAPSA number],Table1[Initials])</f>
        <v>PD</v>
      </c>
      <c r="G66" s="17" t="str">
        <f ca="1">_xlfn.XLOOKUP(__xlnm._FilterDatabase_1510[[#This Row],[SAPSA Number]],Table1[SAPSA number],Table1[Gender])</f>
        <v>S</v>
      </c>
      <c r="H66" s="19" t="e">
        <f>_xlfn.XLOOKUP(__xlnm._FilterDatabase_1510[[#This Row],[SAPSA Number]],#REF!,#REF!)</f>
        <v>#REF!</v>
      </c>
      <c r="I66" s="19" t="s">
        <v>239</v>
      </c>
      <c r="J66" s="21">
        <f t="shared" si="4"/>
        <v>0</v>
      </c>
      <c r="K66" s="22">
        <f t="shared" ref="K66" si="7">(LARGE(L66:AI66,1)+LARGE(L66:AI66,2)+LARGE(L66:AI66,3)+LARGE(L66:AI66,4)+LARGE(L66:AI66,5)+LARGE(L66:AI66,6)+LARGE(L66:AI66,7)+LARGE(L66:AI66,8))/8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>
        <f t="shared" ref="A67:A69" si="8">RANK(K67,K$2:K$149,0)</f>
        <v>3</v>
      </c>
      <c r="B67" s="25">
        <v>3810</v>
      </c>
      <c r="C67" s="25">
        <f>_xlfn.XLOOKUP(__xlnm._FilterDatabase_1510[[#This Row],[SAPSA Number]],Table1[SAPSA number],Table1[Paid up])</f>
        <v>0</v>
      </c>
      <c r="D67" s="39" t="str">
        <f>_xlfn.XLOOKUP(__xlnm._FilterDatabase_1510[[#This Row],[SAPSA Number]],Table1[SAPSA number],Table1[Name])</f>
        <v>Roelof</v>
      </c>
      <c r="E67" s="39" t="str">
        <f>_xlfn.XLOOKUP(__xlnm._FilterDatabase_1510[[#This Row],[SAPSA Number]],Table1[SAPSA number],Table1[Surname])</f>
        <v>Liebenberg</v>
      </c>
      <c r="F67" s="20" t="str">
        <f>_xlfn.XLOOKUP(__xlnm._FilterDatabase_1510[[#This Row],[SAPSA Number]],Table1[SAPSA number],Table1[Initials])</f>
        <v>R</v>
      </c>
      <c r="G67" s="17" t="str">
        <f ca="1">_xlfn.XLOOKUP(__xlnm._FilterDatabase_1510[[#This Row],[SAPSA Number]],Table1[SAPSA number],Table1[Gender])</f>
        <v>S</v>
      </c>
      <c r="H67" s="19" t="e">
        <f>_xlfn.XLOOKUP(__xlnm._FilterDatabase_1510[[#This Row],[SAPSA Number]],#REF!,#REF!)</f>
        <v>#REF!</v>
      </c>
      <c r="I67" s="19" t="s">
        <v>239</v>
      </c>
      <c r="J67" s="21">
        <f t="shared" ref="J67" si="9"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 t="shared" ref="K67" si="10">(LARGE(L67:AI67,1)+LARGE(L67:AI67,2)+LARGE(L67:AI67,3)+LARGE(L67:AI67,4)+LARGE(L67:AI67,5)+LARGE(L67:AI67,6)+LARGE(L67:AI67,7)+LARGE(L67:AI67,8))/8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>
        <f t="shared" si="8"/>
        <v>3</v>
      </c>
      <c r="B68" s="25">
        <v>401</v>
      </c>
      <c r="C68" s="25"/>
      <c r="D68" s="39" t="str">
        <f>_xlfn.XLOOKUP(__xlnm._FilterDatabase_1510[[#This Row],[SAPSA Number]],Table1[SAPSA number],Table1[Name])</f>
        <v>Sebella</v>
      </c>
      <c r="E68" s="39" t="str">
        <f>_xlfn.XLOOKUP(__xlnm._FilterDatabase_1510[[#This Row],[SAPSA Number]],Table1[SAPSA number],Table1[Surname])</f>
        <v>O'Donovan</v>
      </c>
      <c r="F68" s="20" t="str">
        <f>_xlfn.XLOOKUP(__xlnm._FilterDatabase_1510[[#This Row],[SAPSA Number]],Table1[SAPSA number],Table1[Initials])</f>
        <v>S</v>
      </c>
      <c r="G68" s="17" t="str">
        <f>_xlfn.XLOOKUP(__xlnm._FilterDatabase_1510[[#This Row],[SAPSA Number]],Table1[SAPSA number],Table1[Gender])</f>
        <v>Lady</v>
      </c>
      <c r="H68" s="19" t="e">
        <f>_xlfn.XLOOKUP(__xlnm._FilterDatabase_1510[[#This Row],[SAPSA Number]],#REF!,#REF!)</f>
        <v>#REF!</v>
      </c>
      <c r="I68" s="19" t="s">
        <v>239</v>
      </c>
      <c r="J68" s="21">
        <f t="shared" ref="J68:J69" si="11"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 t="shared" ref="K68:K69" si="12">(LARGE(L68:AI68,1)+LARGE(L68:AI68,2)+LARGE(L68:AI68,3)+LARGE(L68:AI68,4)+LARGE(L68:AI68,5)+LARGE(L68:AI68,6)+LARGE(L68:AI68,7)+LARGE(L68:AI68,8))/8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" customHeight="1" x14ac:dyDescent="0.3">
      <c r="A69" s="17">
        <f t="shared" si="8"/>
        <v>3</v>
      </c>
      <c r="B69" s="25">
        <v>1547</v>
      </c>
      <c r="C69" s="25"/>
      <c r="D69" s="39" t="str">
        <f>_xlfn.XLOOKUP(__xlnm._FilterDatabase_1510[[#This Row],[SAPSA Number]],Table1[SAPSA number],Table1[Name])</f>
        <v>Marius Frans</v>
      </c>
      <c r="E69" s="39" t="str">
        <f>_xlfn.XLOOKUP(__xlnm._FilterDatabase_1510[[#This Row],[SAPSA Number]],Table1[SAPSA number],Table1[Surname])</f>
        <v>van Biljon</v>
      </c>
      <c r="F69" s="20" t="str">
        <f>_xlfn.XLOOKUP(__xlnm._FilterDatabase_1510[[#This Row],[SAPSA Number]],Table1[SAPSA number],Table1[Initials])</f>
        <v>MF</v>
      </c>
      <c r="G69" s="17" t="str">
        <f ca="1">_xlfn.XLOOKUP(__xlnm._FilterDatabase_1510[[#This Row],[SAPSA Number]],Table1[SAPSA number],Table1[Gender])</f>
        <v>S</v>
      </c>
      <c r="H69" s="19" t="e">
        <f>_xlfn.XLOOKUP(__xlnm._FilterDatabase_1510[[#This Row],[SAPSA Number]],#REF!,#REF!)</f>
        <v>#REF!</v>
      </c>
      <c r="I69" s="19" t="s">
        <v>239</v>
      </c>
      <c r="J69" s="21">
        <f t="shared" si="11"/>
        <v>0</v>
      </c>
      <c r="K69" s="22">
        <f t="shared" si="12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ht="14.4" customHeight="1" x14ac:dyDescent="0.3">
      <c r="A70" s="17">
        <f t="shared" ref="A70" si="13">RANK(K70,K$2:K$149,0)</f>
        <v>3</v>
      </c>
      <c r="B70" s="25">
        <v>3837</v>
      </c>
      <c r="C70" s="25"/>
      <c r="D70" s="39" t="str">
        <f>_xlfn.XLOOKUP(__xlnm._FilterDatabase_1510[[#This Row],[SAPSA Number]],Table1[SAPSA number],Table1[Name])</f>
        <v>Daneel</v>
      </c>
      <c r="E70" s="39" t="str">
        <f>_xlfn.XLOOKUP(__xlnm._FilterDatabase_1510[[#This Row],[SAPSA Number]],Table1[SAPSA number],Table1[Surname])</f>
        <v>van eck</v>
      </c>
      <c r="F70" s="20" t="str">
        <f>_xlfn.XLOOKUP(__xlnm._FilterDatabase_1510[[#This Row],[SAPSA Number]],Table1[SAPSA number],Table1[Initials])</f>
        <v>DJ</v>
      </c>
      <c r="G70" s="17" t="str">
        <f ca="1">_xlfn.XLOOKUP(__xlnm._FilterDatabase_1510[[#This Row],[SAPSA Number]],Table1[SAPSA number],Table1[Gender])</f>
        <v xml:space="preserve"> </v>
      </c>
      <c r="H70" s="19" t="e">
        <f>_xlfn.XLOOKUP(__xlnm._FilterDatabase_1510[[#This Row],[SAPSA Number]],#REF!,#REF!)</f>
        <v>#REF!</v>
      </c>
      <c r="I70" s="19" t="s">
        <v>239</v>
      </c>
      <c r="J70" s="21">
        <f t="shared" ref="J70" si="14"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 t="shared" ref="K70" si="15">(LARGE(L70:AI70,1)+LARGE(L70:AI70,2)+LARGE(L70:AI70,3)+LARGE(L70:AI70,4)+LARGE(L70:AI70,5)+LARGE(L70:AI70,6)+LARGE(L70:AI70,7)+LARGE(L70:AI70,8))/8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ht="14.4" customHeight="1" x14ac:dyDescent="0.3">
      <c r="A71" s="17"/>
      <c r="B71" s="25"/>
      <c r="C71" s="25"/>
      <c r="D71" s="39"/>
      <c r="E71" s="39"/>
      <c r="F71" s="20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ht="14.4" customHeight="1" x14ac:dyDescent="0.3">
      <c r="A72" s="17"/>
      <c r="B72" s="25"/>
      <c r="C72" s="25"/>
      <c r="D72" s="39"/>
      <c r="E72" s="39"/>
      <c r="F72" s="20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ht="14.4" customHeight="1" x14ac:dyDescent="0.3">
      <c r="A73" s="17"/>
      <c r="B73" s="18"/>
      <c r="C73" s="25"/>
      <c r="D73" s="39"/>
      <c r="E73" s="39"/>
      <c r="F73" s="20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ht="14.4" customHeight="1" x14ac:dyDescent="0.3">
      <c r="A74" s="17"/>
      <c r="B74" s="26"/>
      <c r="C74" s="25"/>
      <c r="D74" s="39"/>
      <c r="E74" s="39"/>
      <c r="F74" s="20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ht="14.4" customHeight="1" x14ac:dyDescent="0.3">
      <c r="A75" s="17"/>
      <c r="B75" s="26"/>
      <c r="C75" s="25"/>
      <c r="D75" s="39"/>
      <c r="E75" s="39"/>
      <c r="F75" s="20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ht="14.4" customHeight="1" x14ac:dyDescent="0.3">
      <c r="A76" s="17"/>
      <c r="B76" s="26"/>
      <c r="C76" s="25"/>
      <c r="D76" s="39"/>
      <c r="E76" s="39"/>
      <c r="F76" s="20"/>
      <c r="G76" s="17"/>
      <c r="H76" s="19"/>
      <c r="I76" s="19"/>
      <c r="J76" s="21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ht="14.4" customHeight="1" x14ac:dyDescent="0.3">
      <c r="A77" s="17"/>
      <c r="B77" s="39"/>
      <c r="C77" s="25"/>
      <c r="D77" s="39"/>
      <c r="E77" s="39"/>
      <c r="F77" s="20"/>
      <c r="G77" s="17"/>
      <c r="H77" s="19"/>
      <c r="I77" s="19"/>
      <c r="J77" s="21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ht="14.4" customHeight="1" x14ac:dyDescent="0.3">
      <c r="A78" s="17"/>
      <c r="B78" s="39"/>
      <c r="C78" s="25"/>
      <c r="D78" s="39"/>
      <c r="E78" s="39"/>
      <c r="F78" s="20"/>
      <c r="G78" s="17"/>
      <c r="H78" s="19"/>
      <c r="I78" s="19"/>
      <c r="J78" s="21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ht="14.4" customHeight="1" x14ac:dyDescent="0.3">
      <c r="A79" s="17"/>
      <c r="B79" s="26"/>
      <c r="C79" s="25"/>
      <c r="D79" s="39"/>
      <c r="E79" s="39"/>
      <c r="F79" s="20"/>
      <c r="G79" s="17"/>
      <c r="H79" s="19"/>
      <c r="I79" s="19"/>
      <c r="J79" s="21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17"/>
      <c r="B80" s="27"/>
      <c r="C80" s="25"/>
      <c r="D80" s="39"/>
      <c r="E80" s="39"/>
      <c r="F80" s="20"/>
      <c r="G80" s="17"/>
      <c r="H80" s="19"/>
      <c r="I80" s="19"/>
      <c r="J80" s="21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x14ac:dyDescent="0.3">
      <c r="A81" s="17"/>
      <c r="B81" s="26"/>
      <c r="C81" s="25"/>
      <c r="D81" s="39"/>
      <c r="E81" s="39"/>
      <c r="F81" s="20"/>
      <c r="G81" s="17"/>
      <c r="H81" s="19"/>
      <c r="I81" s="19"/>
      <c r="J81" s="21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17"/>
      <c r="B82" s="26"/>
      <c r="C82" s="25"/>
      <c r="D82" s="39"/>
      <c r="E82" s="39"/>
      <c r="F82" s="20"/>
      <c r="G82" s="17"/>
      <c r="H82" s="19"/>
      <c r="I82" s="19"/>
      <c r="J82" s="21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17"/>
      <c r="B83" s="26"/>
      <c r="C83" s="25"/>
      <c r="D83" s="39"/>
      <c r="E83" s="39"/>
      <c r="F83" s="20"/>
      <c r="G83" s="17"/>
      <c r="H83" s="19"/>
      <c r="I83" s="19"/>
      <c r="J83" s="21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17"/>
      <c r="B84" s="26"/>
      <c r="C84" s="25"/>
      <c r="D84" s="39"/>
      <c r="E84" s="39"/>
      <c r="F84" s="20"/>
      <c r="G84" s="17"/>
      <c r="H84" s="19"/>
      <c r="I84" s="19"/>
      <c r="J84" s="21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17"/>
      <c r="B85" s="25"/>
      <c r="C85" s="25"/>
      <c r="D85" s="39"/>
      <c r="E85" s="39"/>
      <c r="F85" s="20"/>
      <c r="G85" s="17"/>
      <c r="H85" s="19"/>
      <c r="I85" s="19"/>
      <c r="J85" s="21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17"/>
      <c r="B86" s="40"/>
      <c r="C86" s="25"/>
      <c r="D86" s="39"/>
      <c r="E86" s="39"/>
      <c r="F86" s="20"/>
      <c r="G86" s="17"/>
      <c r="H86" s="19"/>
      <c r="I86" s="19"/>
      <c r="J86" s="21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17"/>
      <c r="B87" s="30"/>
      <c r="C87" s="25"/>
      <c r="D87" s="39"/>
      <c r="E87" s="39"/>
      <c r="F87" s="20"/>
      <c r="G87" s="17"/>
      <c r="H87" s="19"/>
      <c r="I87" s="19"/>
      <c r="J87" s="21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17"/>
      <c r="B88" s="26"/>
      <c r="C88" s="25"/>
      <c r="D88" s="39"/>
      <c r="E88" s="39"/>
      <c r="F88" s="20"/>
      <c r="G88" s="17"/>
      <c r="H88" s="19"/>
      <c r="I88" s="19"/>
      <c r="J88" s="21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1"/>
      <c r="B89" s="32"/>
      <c r="C89" s="25"/>
      <c r="D89" s="39"/>
      <c r="E89" s="39"/>
      <c r="F89" s="20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1"/>
      <c r="B90" s="32"/>
      <c r="C90" s="25"/>
      <c r="D90" s="39"/>
      <c r="E90" s="39"/>
      <c r="F90" s="20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1"/>
      <c r="B91" s="32"/>
      <c r="C91" s="25"/>
      <c r="D91" s="39"/>
      <c r="E91" s="39"/>
      <c r="F91" s="20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1"/>
      <c r="B92" s="32"/>
      <c r="C92" s="25"/>
      <c r="D92" s="39"/>
      <c r="E92" s="39"/>
      <c r="F92" s="20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31"/>
      <c r="B93" s="32"/>
      <c r="C93" s="25"/>
      <c r="D93" s="39"/>
      <c r="E93" s="39"/>
      <c r="F93" s="20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1"/>
      <c r="B94" s="32"/>
      <c r="C94" s="25"/>
      <c r="D94" s="39"/>
      <c r="E94" s="39"/>
      <c r="F94" s="20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5"/>
      <c r="B95" s="32"/>
      <c r="C95" s="25"/>
      <c r="D95" s="39"/>
      <c r="E95" s="39"/>
      <c r="F95" s="20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5"/>
      <c r="B96" s="36"/>
      <c r="C96" s="25"/>
      <c r="D96" s="39"/>
      <c r="E96" s="39"/>
      <c r="F96" s="20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5"/>
      <c r="B97" s="32"/>
      <c r="C97" s="25"/>
      <c r="D97" s="39"/>
      <c r="E97" s="39"/>
      <c r="F97" s="20"/>
      <c r="G97" s="17"/>
      <c r="H97" s="19"/>
      <c r="I97" s="19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5"/>
      <c r="B98" s="32"/>
      <c r="C98" s="25"/>
      <c r="D98" s="39"/>
      <c r="E98" s="39"/>
      <c r="F98" s="20"/>
      <c r="G98" s="17"/>
      <c r="H98" s="19"/>
      <c r="I98" s="19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5"/>
      <c r="B99" s="32"/>
      <c r="C99" s="25"/>
      <c r="D99" s="39"/>
      <c r="E99" s="39"/>
      <c r="F99" s="20"/>
      <c r="G99" s="17"/>
      <c r="H99" s="19"/>
      <c r="I99" s="19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35"/>
      <c r="B100" s="32"/>
      <c r="C100" s="25"/>
      <c r="D100" s="39"/>
      <c r="E100" s="39"/>
      <c r="F100" s="20"/>
      <c r="G100" s="17"/>
      <c r="H100" s="19"/>
      <c r="I100" s="19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35"/>
      <c r="B101" s="41"/>
      <c r="C101" s="25"/>
      <c r="D101" s="39"/>
      <c r="E101" s="39"/>
      <c r="F101" s="20"/>
      <c r="G101" s="17"/>
      <c r="H101" s="19"/>
      <c r="I101" s="19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5"/>
      <c r="B102" s="32"/>
      <c r="C102" s="25"/>
      <c r="D102" s="39"/>
      <c r="E102" s="39"/>
      <c r="F102" s="20"/>
      <c r="G102" s="17"/>
      <c r="H102" s="19"/>
      <c r="I102" s="19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35"/>
      <c r="B103" s="32"/>
      <c r="C103" s="25"/>
      <c r="D103" s="39"/>
      <c r="E103" s="39"/>
      <c r="F103" s="20"/>
      <c r="G103" s="17"/>
      <c r="H103" s="19"/>
      <c r="I103" s="19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32"/>
      <c r="C104" s="25"/>
      <c r="D104" s="39"/>
      <c r="E104" s="39"/>
      <c r="F104" s="20"/>
      <c r="G104" s="17"/>
      <c r="H104" s="19"/>
      <c r="I104" s="19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x14ac:dyDescent="0.3">
      <c r="A105" s="31"/>
      <c r="B105" s="32"/>
      <c r="C105" s="25"/>
      <c r="D105" s="39"/>
      <c r="E105" s="39"/>
      <c r="F105" s="20"/>
      <c r="G105" s="17"/>
      <c r="H105" s="19"/>
      <c r="I105" s="19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x14ac:dyDescent="0.3">
      <c r="A106" s="35"/>
      <c r="B106" s="44"/>
      <c r="C106" s="25"/>
      <c r="D106" s="39"/>
      <c r="E106" s="39"/>
      <c r="F106" s="20"/>
      <c r="G106" s="17"/>
      <c r="H106" s="19"/>
      <c r="I106" s="19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35"/>
      <c r="B107" s="32"/>
      <c r="C107" s="25"/>
      <c r="D107" s="39"/>
      <c r="E107" s="39"/>
      <c r="F107" s="20"/>
      <c r="G107" s="17"/>
      <c r="H107" s="19"/>
      <c r="I107" s="19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x14ac:dyDescent="0.3">
      <c r="A108" s="35"/>
      <c r="B108" s="32"/>
      <c r="C108" s="25"/>
      <c r="D108" s="39"/>
      <c r="E108" s="39"/>
      <c r="F108" s="20"/>
      <c r="G108" s="17"/>
      <c r="H108" s="19"/>
      <c r="I108" s="19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31"/>
      <c r="B109" s="41"/>
      <c r="C109" s="25"/>
      <c r="D109" s="39"/>
      <c r="E109" s="39"/>
      <c r="F109" s="20"/>
      <c r="G109" s="17"/>
      <c r="H109" s="19"/>
      <c r="I109" s="19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25"/>
      <c r="D110" s="39"/>
      <c r="E110" s="39"/>
      <c r="F110" s="20"/>
      <c r="G110" s="17"/>
      <c r="H110" s="19"/>
      <c r="I110" s="19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41"/>
      <c r="C111" s="25"/>
      <c r="D111" s="39"/>
      <c r="E111" s="39"/>
      <c r="F111" s="20"/>
      <c r="G111" s="17"/>
      <c r="H111" s="19"/>
      <c r="I111" s="19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1"/>
      <c r="C112" s="25"/>
      <c r="D112" s="39"/>
      <c r="E112" s="39"/>
      <c r="F112" s="20"/>
      <c r="G112" s="17"/>
      <c r="H112" s="19"/>
      <c r="I112" s="19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39"/>
      <c r="E113" s="39"/>
      <c r="F113" s="20"/>
      <c r="G113" s="17"/>
      <c r="H113" s="19"/>
      <c r="I113" s="19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32"/>
      <c r="C114" s="25"/>
      <c r="D114" s="39"/>
      <c r="E114" s="39"/>
      <c r="F114" s="20"/>
      <c r="G114" s="17"/>
      <c r="H114" s="19"/>
      <c r="I114" s="19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41"/>
      <c r="C115" s="25"/>
      <c r="D115" s="39"/>
      <c r="E115" s="39"/>
      <c r="F115" s="20"/>
      <c r="G115" s="17"/>
      <c r="H115" s="19"/>
      <c r="I115" s="19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43"/>
      <c r="C116" s="25"/>
      <c r="D116" s="39"/>
      <c r="E116" s="39"/>
      <c r="F116" s="20"/>
      <c r="G116" s="17"/>
      <c r="H116" s="19"/>
      <c r="I116" s="19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43"/>
      <c r="C117" s="25"/>
      <c r="D117" s="39"/>
      <c r="E117" s="39"/>
      <c r="F117" s="20"/>
      <c r="G117" s="17"/>
      <c r="H117" s="19"/>
      <c r="I117" s="19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43"/>
      <c r="C118" s="25"/>
      <c r="D118" s="39"/>
      <c r="E118" s="39"/>
      <c r="F118" s="20"/>
      <c r="G118" s="17"/>
      <c r="H118" s="19"/>
      <c r="I118" s="19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25"/>
      <c r="D119" s="39"/>
      <c r="E119" s="39"/>
      <c r="F119" s="20"/>
      <c r="G119" s="17"/>
      <c r="H119" s="19"/>
      <c r="I119" s="19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2"/>
      <c r="C120" s="25"/>
      <c r="D120" s="39"/>
      <c r="E120" s="39"/>
      <c r="F120" s="20"/>
      <c r="G120" s="17"/>
      <c r="H120" s="19"/>
      <c r="I120" s="19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2"/>
      <c r="C121" s="25"/>
      <c r="D121" s="39"/>
      <c r="E121" s="39"/>
      <c r="F121" s="20"/>
      <c r="G121" s="17"/>
      <c r="H121" s="19"/>
      <c r="I121" s="19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32"/>
      <c r="C122" s="25"/>
      <c r="D122" s="39"/>
      <c r="E122" s="39"/>
      <c r="F122" s="20"/>
      <c r="G122" s="17"/>
      <c r="H122" s="19"/>
      <c r="I122" s="19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43"/>
      <c r="C123" s="100"/>
      <c r="D123" s="39"/>
      <c r="E123" s="39"/>
      <c r="F123" s="20"/>
      <c r="G123" s="17"/>
      <c r="H123" s="19"/>
      <c r="I123" s="19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41"/>
      <c r="C124" s="25"/>
      <c r="D124" s="39"/>
      <c r="E124" s="39"/>
      <c r="F124" s="20"/>
      <c r="G124" s="17"/>
      <c r="H124" s="19"/>
      <c r="I124" s="19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43"/>
      <c r="C125" s="25"/>
      <c r="D125" s="39"/>
      <c r="E125" s="39"/>
      <c r="F125" s="20"/>
      <c r="G125" s="17"/>
      <c r="H125" s="19"/>
      <c r="I125" s="19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32"/>
      <c r="C126" s="25"/>
      <c r="D126" s="39"/>
      <c r="E126" s="39"/>
      <c r="F126" s="20"/>
      <c r="G126" s="17"/>
      <c r="H126" s="19"/>
      <c r="I126" s="19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  <row r="127" spans="1:23" x14ac:dyDescent="0.3">
      <c r="A127" s="31"/>
      <c r="B127" s="32"/>
      <c r="C127" s="25"/>
      <c r="D127" s="39"/>
      <c r="E127" s="39"/>
      <c r="F127" s="20"/>
      <c r="G127" s="17"/>
      <c r="H127" s="19"/>
      <c r="I127" s="19"/>
      <c r="J127" s="34"/>
      <c r="K127" s="22"/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</row>
    <row r="128" spans="1:23" x14ac:dyDescent="0.3">
      <c r="A128" s="31"/>
      <c r="B128" s="32"/>
      <c r="C128" s="25"/>
      <c r="D128" s="39"/>
      <c r="E128" s="39"/>
      <c r="F128" s="20"/>
      <c r="G128" s="17"/>
      <c r="H128" s="19"/>
      <c r="I128" s="19"/>
      <c r="J128" s="34"/>
      <c r="K128" s="22"/>
      <c r="L128" s="23"/>
      <c r="M128" s="24"/>
      <c r="N128" s="23"/>
      <c r="O128" s="24"/>
      <c r="P128" s="23"/>
      <c r="Q128" s="24"/>
      <c r="R128" s="23"/>
      <c r="S128" s="24"/>
      <c r="T128" s="23"/>
      <c r="U128" s="24"/>
      <c r="V128" s="23"/>
      <c r="W128" s="24"/>
    </row>
    <row r="129" spans="1:23" x14ac:dyDescent="0.3">
      <c r="A129" s="31"/>
      <c r="B129" s="43"/>
      <c r="C129" s="25"/>
      <c r="D129" s="39"/>
      <c r="E129" s="39"/>
      <c r="F129" s="20"/>
      <c r="G129" s="17"/>
      <c r="H129" s="19"/>
      <c r="I129" s="19"/>
      <c r="J129" s="34"/>
      <c r="K129" s="22"/>
      <c r="L129" s="23"/>
      <c r="M129" s="24"/>
      <c r="N129" s="23"/>
      <c r="O129" s="24"/>
      <c r="P129" s="23"/>
      <c r="Q129" s="24"/>
      <c r="R129" s="23"/>
      <c r="S129" s="24"/>
      <c r="T129" s="23"/>
      <c r="U129" s="24"/>
      <c r="V129" s="23"/>
      <c r="W129" s="24"/>
    </row>
    <row r="130" spans="1:23" x14ac:dyDescent="0.3">
      <c r="A130" s="31"/>
      <c r="B130" s="32"/>
      <c r="C130" s="25"/>
      <c r="D130" s="39"/>
      <c r="E130" s="39"/>
      <c r="F130" s="20"/>
      <c r="G130" s="17"/>
      <c r="H130" s="19"/>
      <c r="I130" s="19"/>
      <c r="J130" s="34"/>
      <c r="K130" s="22"/>
      <c r="L130" s="23"/>
      <c r="M130" s="24"/>
      <c r="N130" s="23"/>
      <c r="O130" s="24"/>
      <c r="P130" s="23"/>
      <c r="Q130" s="24"/>
      <c r="R130" s="23"/>
      <c r="S130" s="24"/>
      <c r="T130" s="23"/>
      <c r="U130" s="24"/>
      <c r="V130" s="23"/>
      <c r="W130" s="24"/>
    </row>
    <row r="131" spans="1:23" x14ac:dyDescent="0.3">
      <c r="A131" s="31"/>
      <c r="B131" s="43"/>
      <c r="C131" s="25"/>
      <c r="D131" s="39"/>
      <c r="E131" s="39"/>
      <c r="F131" s="20"/>
      <c r="G131" s="17"/>
      <c r="H131" s="19"/>
      <c r="I131" s="19"/>
      <c r="J131" s="34"/>
      <c r="K131" s="22"/>
      <c r="L131" s="23"/>
      <c r="M131" s="24"/>
      <c r="N131" s="23"/>
      <c r="O131" s="24"/>
      <c r="P131" s="23"/>
      <c r="Q131" s="24"/>
      <c r="R131" s="23"/>
      <c r="S131" s="24"/>
      <c r="T131" s="23"/>
      <c r="U131" s="24"/>
      <c r="V131" s="23"/>
      <c r="W131" s="24"/>
    </row>
    <row r="132" spans="1:23" x14ac:dyDescent="0.3">
      <c r="A132" s="31"/>
      <c r="B132" s="3"/>
      <c r="C132" s="25"/>
      <c r="D132" s="39"/>
      <c r="E132" s="39"/>
      <c r="F132" s="20"/>
      <c r="G132" s="17"/>
      <c r="H132" s="19"/>
      <c r="I132" s="19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3">
      <c r="A133" s="31"/>
      <c r="B133" s="43"/>
      <c r="C133" s="25"/>
      <c r="D133" s="39"/>
      <c r="E133" s="39"/>
      <c r="F133" s="20"/>
      <c r="G133" s="17"/>
      <c r="H133" s="19"/>
      <c r="I133" s="19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3">
      <c r="A134" s="31"/>
      <c r="B134" s="43"/>
      <c r="C134" s="25"/>
      <c r="D134" s="39"/>
      <c r="E134" s="39"/>
      <c r="F134" s="20"/>
      <c r="G134" s="17"/>
      <c r="H134" s="19"/>
      <c r="I134" s="19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  <row r="135" spans="1:23" x14ac:dyDescent="0.3">
      <c r="A135" s="31"/>
      <c r="B135" s="43"/>
      <c r="C135" s="25"/>
      <c r="D135" s="39"/>
      <c r="E135" s="39"/>
      <c r="F135" s="20"/>
      <c r="G135" s="17"/>
      <c r="H135" s="19"/>
      <c r="I135" s="19"/>
      <c r="J135" s="34"/>
      <c r="K135" s="22"/>
      <c r="L135" s="23"/>
      <c r="M135" s="24"/>
      <c r="N135" s="23"/>
      <c r="O135" s="24"/>
      <c r="P135" s="23"/>
      <c r="Q135" s="24"/>
      <c r="R135" s="23"/>
      <c r="S135" s="24"/>
      <c r="T135" s="23"/>
      <c r="U135" s="24"/>
      <c r="V135" s="23"/>
      <c r="W135" s="24"/>
    </row>
    <row r="136" spans="1:23" x14ac:dyDescent="0.3">
      <c r="A136" s="31"/>
      <c r="B136" s="43"/>
      <c r="C136" s="100"/>
      <c r="D136" s="39"/>
      <c r="E136" s="39"/>
      <c r="F136" s="20"/>
      <c r="G136" s="17"/>
      <c r="H136" s="19"/>
      <c r="I136" s="19"/>
      <c r="J136" s="34"/>
      <c r="K136" s="22"/>
      <c r="L136" s="23"/>
      <c r="M136" s="24"/>
      <c r="N136" s="23"/>
      <c r="O136" s="24"/>
      <c r="P136" s="23"/>
      <c r="Q136" s="24"/>
      <c r="R136" s="23"/>
      <c r="S136" s="24"/>
      <c r="T136" s="23"/>
      <c r="U136" s="24"/>
      <c r="V136" s="23"/>
      <c r="W136" s="24"/>
    </row>
  </sheetData>
  <conditionalFormatting sqref="G2:G136">
    <cfRule type="cellIs" dxfId="6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CE176-3A4A-4993-8B18-F410D1B59509}">
  <sheetPr codeName="Sheet11">
    <tabColor rgb="FF7030A0"/>
  </sheetPr>
  <dimension ref="A1:AMJ124"/>
  <sheetViews>
    <sheetView zoomScale="80" zoomScaleNormal="80" workbookViewId="0">
      <pane xSplit="11" ySplit="1" topLeftCell="U2" activePane="bottomRight" state="frozen"/>
      <selection activeCell="D82" sqref="D82"/>
      <selection pane="topRight" activeCell="D82" sqref="D82"/>
      <selection pane="bottomLeft" activeCell="D82" sqref="D82"/>
      <selection pane="bottomRight" activeCell="W6" sqref="W6"/>
    </sheetView>
  </sheetViews>
  <sheetFormatPr defaultRowHeight="14.4" x14ac:dyDescent="0.3"/>
  <cols>
    <col min="1" max="1" width="10.44140625" style="37" bestFit="1" customWidth="1"/>
    <col min="2" max="2" width="9.33203125" style="63" customWidth="1"/>
    <col min="3" max="3" width="9.33203125" style="63" hidden="1" customWidth="1"/>
    <col min="4" max="4" width="17.6640625" style="16" bestFit="1" customWidth="1"/>
    <col min="5" max="5" width="16.109375" style="16" bestFit="1" customWidth="1"/>
    <col min="6" max="6" width="7.44140625" style="16" customWidth="1"/>
    <col min="7" max="7" width="6.5546875" style="16" customWidth="1"/>
    <col min="8" max="8" width="5.88671875" style="16" hidden="1" customWidth="1"/>
    <col min="9" max="9" width="14.5546875" style="16" customWidth="1"/>
    <col min="10" max="10" width="7.33203125" style="16" customWidth="1"/>
    <col min="11" max="11" width="8.109375" style="38" customWidth="1"/>
    <col min="12" max="12" width="12.44140625" style="16" bestFit="1" customWidth="1"/>
    <col min="13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11" si="0">RANK(K2,K$2:K$137,0)</f>
        <v>1</v>
      </c>
      <c r="B2" s="25">
        <v>5804</v>
      </c>
      <c r="C2" s="25" t="str">
        <f>_xlfn.XLOOKUP(__xlnm._FilterDatabase_1511[[#This Row],[SAPSA Number]],Table1[SAPSA number],Table1[Paid up])</f>
        <v>Y</v>
      </c>
      <c r="D2" s="39" t="str">
        <f>_xlfn.XLOOKUP(__xlnm._FilterDatabase_1511[[#This Row],[SAPSA Number]],Table1[SAPSA number],Table1[Name])</f>
        <v>Louis Johannes</v>
      </c>
      <c r="E2" s="39" t="str">
        <f>_xlfn.XLOOKUP(__xlnm._FilterDatabase_1511[[#This Row],[SAPSA Number]],Table1[SAPSA number],Table1[Surname])</f>
        <v>Nel</v>
      </c>
      <c r="F2" s="20" t="str">
        <f>_xlfn.XLOOKUP(__xlnm._FilterDatabase_1511[[#This Row],[SAPSA Number]],Table1[SAPSA number],Table1[Initials])</f>
        <v>LJ</v>
      </c>
      <c r="G2" s="17" t="str">
        <f ca="1">_xlfn.XLOOKUP(__xlnm._FilterDatabase_1511[[#This Row],[SAPSA Number]],Table1[SAPSA number],Table1[Gender])</f>
        <v xml:space="preserve"> </v>
      </c>
      <c r="H2" s="19" t="e">
        <f>_xlfn.XLOOKUP(__xlnm._FilterDatabase_1511[[#This Row],[SAPSA Number]],#REF!,#REF!)</f>
        <v>#REF!</v>
      </c>
      <c r="I2" s="19" t="s">
        <v>238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5</v>
      </c>
      <c r="K2" s="22">
        <f t="shared" ref="K2:K33" si="2">(LARGE(L2:U2,1)+LARGE(L2:U2,2)+LARGE(L2:U2,3)+LARGE(L2:U2,4)+LARGE(L2:U2,5))/5</f>
        <v>99.859340000000003</v>
      </c>
      <c r="L2" s="79">
        <v>0</v>
      </c>
      <c r="M2" s="80">
        <v>100</v>
      </c>
      <c r="N2" s="79">
        <v>0</v>
      </c>
      <c r="O2" s="80">
        <v>100</v>
      </c>
      <c r="P2" s="79">
        <v>100</v>
      </c>
      <c r="Q2" s="80">
        <v>0</v>
      </c>
      <c r="R2" s="79">
        <v>0</v>
      </c>
      <c r="S2" s="80">
        <v>100</v>
      </c>
      <c r="T2" s="79">
        <v>0</v>
      </c>
      <c r="U2" s="80">
        <v>99.296700000000001</v>
      </c>
      <c r="V2" s="23">
        <v>0</v>
      </c>
      <c r="W2" s="24">
        <v>0</v>
      </c>
    </row>
    <row r="3" spans="1:23" ht="14.4" customHeight="1" x14ac:dyDescent="0.3">
      <c r="A3" s="17">
        <f t="shared" si="0"/>
        <v>2</v>
      </c>
      <c r="B3" s="25">
        <v>851</v>
      </c>
      <c r="C3" s="25" t="str">
        <f>_xlfn.XLOOKUP(__xlnm._FilterDatabase_1511[[#This Row],[SAPSA Number]],Table1[SAPSA number],Table1[Paid up])</f>
        <v>Y</v>
      </c>
      <c r="D3" s="39" t="str">
        <f>_xlfn.XLOOKUP(__xlnm._FilterDatabase_1511[[#This Row],[SAPSA Number]],Table1[SAPSA number],Table1[Name])</f>
        <v>Ian David</v>
      </c>
      <c r="E3" s="39" t="str">
        <f>_xlfn.XLOOKUP(__xlnm._FilterDatabase_1511[[#This Row],[SAPSA Number]],Table1[SAPSA number],Table1[Surname])</f>
        <v>McLaren</v>
      </c>
      <c r="F3" s="20" t="str">
        <f>_xlfn.XLOOKUP(__xlnm._FilterDatabase_1511[[#This Row],[SAPSA Number]],Table1[SAPSA number],Table1[Initials])</f>
        <v>ID</v>
      </c>
      <c r="G3" s="17" t="str">
        <f ca="1">_xlfn.XLOOKUP(__xlnm._FilterDatabase_1511[[#This Row],[SAPSA Number]],Table1[SAPSA number],Table1[Gender])</f>
        <v>SS</v>
      </c>
      <c r="H3" s="19" t="e">
        <f>_xlfn.XLOOKUP(__xlnm._FilterDatabase_1511[[#This Row],[SAPSA Number]],#REF!,#REF!)</f>
        <v>#REF!</v>
      </c>
      <c r="I3" s="19" t="s">
        <v>238</v>
      </c>
      <c r="J3" s="21">
        <f t="shared" si="1"/>
        <v>5</v>
      </c>
      <c r="K3" s="22">
        <f t="shared" si="2"/>
        <v>78.713699999999989</v>
      </c>
      <c r="L3" s="79">
        <v>59.491399999999999</v>
      </c>
      <c r="M3" s="80">
        <v>73.1995</v>
      </c>
      <c r="N3" s="79">
        <v>86.462299999999999</v>
      </c>
      <c r="O3" s="80">
        <v>91.856800000000007</v>
      </c>
      <c r="P3" s="79">
        <v>0</v>
      </c>
      <c r="Q3" s="80">
        <v>0</v>
      </c>
      <c r="R3" s="79">
        <v>0</v>
      </c>
      <c r="S3" s="80">
        <v>0</v>
      </c>
      <c r="T3" s="79">
        <v>0</v>
      </c>
      <c r="U3" s="80">
        <v>82.558499999999995</v>
      </c>
      <c r="V3" s="23">
        <v>0</v>
      </c>
      <c r="W3" s="24">
        <v>0</v>
      </c>
    </row>
    <row r="4" spans="1:23" ht="14.4" customHeight="1" x14ac:dyDescent="0.3">
      <c r="A4" s="17">
        <f t="shared" si="0"/>
        <v>3</v>
      </c>
      <c r="B4" s="25">
        <v>1716</v>
      </c>
      <c r="C4" s="25" t="str">
        <f>_xlfn.XLOOKUP(__xlnm._FilterDatabase_1511[[#This Row],[SAPSA Number]],Table1[SAPSA number],Table1[Paid up])</f>
        <v>Y</v>
      </c>
      <c r="D4" s="39" t="str">
        <f>_xlfn.XLOOKUP(__xlnm._FilterDatabase_1511[[#This Row],[SAPSA Number]],Table1[SAPSA number],Table1[Name])</f>
        <v>Albert</v>
      </c>
      <c r="E4" s="39" t="str">
        <f>_xlfn.XLOOKUP(__xlnm._FilterDatabase_1511[[#This Row],[SAPSA Number]],Table1[SAPSA number],Table1[Surname])</f>
        <v>Wöcke</v>
      </c>
      <c r="F4" s="20" t="str">
        <f>_xlfn.XLOOKUP(__xlnm._FilterDatabase_1511[[#This Row],[SAPSA Number]],Table1[SAPSA number],Table1[Initials])</f>
        <v>A</v>
      </c>
      <c r="G4" s="17" t="str">
        <f ca="1">_xlfn.XLOOKUP(__xlnm._FilterDatabase_1511[[#This Row],[SAPSA Number]],Table1[SAPSA number],Table1[Gender])</f>
        <v>S</v>
      </c>
      <c r="H4" s="19" t="e">
        <f>_xlfn.XLOOKUP(__xlnm._FilterDatabase_1511[[#This Row],[SAPSA Number]],#REF!,#REF!)</f>
        <v>#REF!</v>
      </c>
      <c r="I4" s="19" t="s">
        <v>238</v>
      </c>
      <c r="J4" s="21">
        <f t="shared" si="1"/>
        <v>6</v>
      </c>
      <c r="K4" s="22">
        <f t="shared" si="2"/>
        <v>72.424400000000006</v>
      </c>
      <c r="L4" s="79">
        <v>0</v>
      </c>
      <c r="M4" s="80">
        <v>98.357900000000001</v>
      </c>
      <c r="N4" s="79">
        <v>75.155799999999999</v>
      </c>
      <c r="O4" s="80">
        <v>88.6083</v>
      </c>
      <c r="P4" s="79">
        <v>0</v>
      </c>
      <c r="Q4" s="80">
        <v>0</v>
      </c>
      <c r="R4" s="79">
        <v>0</v>
      </c>
      <c r="S4" s="80">
        <v>0</v>
      </c>
      <c r="T4" s="79">
        <v>0</v>
      </c>
      <c r="U4" s="80">
        <v>100</v>
      </c>
      <c r="V4" s="23">
        <v>100</v>
      </c>
      <c r="W4" s="24">
        <v>100</v>
      </c>
    </row>
    <row r="5" spans="1:23" ht="14.4" customHeight="1" x14ac:dyDescent="0.3">
      <c r="A5" s="17">
        <f t="shared" si="0"/>
        <v>4</v>
      </c>
      <c r="B5" s="25">
        <v>572</v>
      </c>
      <c r="C5" s="25" t="str">
        <f>_xlfn.XLOOKUP(__xlnm._FilterDatabase_1511[[#This Row],[SAPSA Number]],Table1[SAPSA number],Table1[Paid up])</f>
        <v>Y</v>
      </c>
      <c r="D5" s="39" t="str">
        <f>_xlfn.XLOOKUP(__xlnm._FilterDatabase_1511[[#This Row],[SAPSA Number]],Table1[SAPSA number],Table1[Name])</f>
        <v>DJ</v>
      </c>
      <c r="E5" s="39" t="str">
        <f>_xlfn.XLOOKUP(__xlnm._FilterDatabase_1511[[#This Row],[SAPSA Number]],Table1[SAPSA number],Table1[Surname])</f>
        <v>Smith</v>
      </c>
      <c r="F5" s="20" t="str">
        <f>_xlfn.XLOOKUP(__xlnm._FilterDatabase_1511[[#This Row],[SAPSA Number]],Table1[SAPSA number],Table1[Initials])</f>
        <v>DJ</v>
      </c>
      <c r="G5" s="17" t="str">
        <f ca="1">_xlfn.XLOOKUP(__xlnm._FilterDatabase_1511[[#This Row],[SAPSA Number]],Table1[SAPSA number],Table1[Gender])</f>
        <v>SS</v>
      </c>
      <c r="H5" s="19" t="e">
        <f>_xlfn.XLOOKUP(__xlnm._FilterDatabase_1511[[#This Row],[SAPSA Number]],#REF!,#REF!)</f>
        <v>#REF!</v>
      </c>
      <c r="I5" s="19" t="s">
        <v>238</v>
      </c>
      <c r="J5" s="21">
        <f t="shared" si="1"/>
        <v>4</v>
      </c>
      <c r="K5" s="22">
        <f t="shared" si="2"/>
        <v>56.605879999999999</v>
      </c>
      <c r="L5" s="79">
        <v>100</v>
      </c>
      <c r="M5" s="80">
        <v>0</v>
      </c>
      <c r="N5" s="79">
        <v>100</v>
      </c>
      <c r="O5" s="80">
        <v>83.029399999999995</v>
      </c>
      <c r="P5" s="79">
        <v>0</v>
      </c>
      <c r="Q5" s="80">
        <v>0</v>
      </c>
      <c r="R5" s="79">
        <v>0</v>
      </c>
      <c r="S5" s="80">
        <v>0</v>
      </c>
      <c r="T5" s="79">
        <v>0</v>
      </c>
      <c r="U5" s="80">
        <v>0</v>
      </c>
      <c r="V5" s="23">
        <v>0</v>
      </c>
      <c r="W5" s="24">
        <v>84.4</v>
      </c>
    </row>
    <row r="6" spans="1:23" ht="14.4" customHeight="1" x14ac:dyDescent="0.3">
      <c r="A6" s="17">
        <f t="shared" si="0"/>
        <v>5</v>
      </c>
      <c r="B6" s="18">
        <v>3339</v>
      </c>
      <c r="C6" s="25" t="str">
        <f>_xlfn.XLOOKUP(__xlnm._FilterDatabase_1511[[#This Row],[SAPSA Number]],Table1[SAPSA number],Table1[Paid up])</f>
        <v>Y</v>
      </c>
      <c r="D6" s="39" t="str">
        <f>_xlfn.XLOOKUP(__xlnm._FilterDatabase_1511[[#This Row],[SAPSA Number]],Table1[SAPSA number],Table1[Name])</f>
        <v>Hendrik Johannes</v>
      </c>
      <c r="E6" s="39" t="str">
        <f>_xlfn.XLOOKUP(__xlnm._FilterDatabase_1511[[#This Row],[SAPSA Number]],Table1[SAPSA number],Table1[Surname])</f>
        <v>Joubert</v>
      </c>
      <c r="F6" s="20" t="str">
        <f>_xlfn.XLOOKUP(__xlnm._FilterDatabase_1511[[#This Row],[SAPSA Number]],Table1[SAPSA number],Table1[Initials])</f>
        <v>HJ</v>
      </c>
      <c r="G6" s="17" t="str">
        <f ca="1">_xlfn.XLOOKUP(__xlnm._FilterDatabase_1511[[#This Row],[SAPSA Number]],Table1[SAPSA number],Table1[Gender])</f>
        <v>S</v>
      </c>
      <c r="H6" s="19" t="e">
        <f>_xlfn.XLOOKUP(__xlnm._FilterDatabase_1511[[#This Row],[SAPSA Number]],#REF!,#REF!)</f>
        <v>#REF!</v>
      </c>
      <c r="I6" s="19" t="s">
        <v>238</v>
      </c>
      <c r="J6" s="21">
        <f t="shared" si="1"/>
        <v>2</v>
      </c>
      <c r="K6" s="22">
        <f t="shared" si="2"/>
        <v>35.011739999999996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85.442800000000005</v>
      </c>
      <c r="T6" s="23">
        <v>0</v>
      </c>
      <c r="U6" s="24">
        <v>89.615899999999996</v>
      </c>
      <c r="V6" s="23">
        <v>0</v>
      </c>
      <c r="W6" s="24">
        <v>0</v>
      </c>
    </row>
    <row r="7" spans="1:23" ht="14.4" customHeight="1" x14ac:dyDescent="0.3">
      <c r="A7" s="17">
        <f t="shared" si="0"/>
        <v>6</v>
      </c>
      <c r="B7" s="25">
        <v>4672</v>
      </c>
      <c r="C7" s="25" t="str">
        <f>_xlfn.XLOOKUP(__xlnm._FilterDatabase_1511[[#This Row],[SAPSA Number]],Table1[SAPSA number],Table1[Paid up])</f>
        <v>Y</v>
      </c>
      <c r="D7" s="39" t="str">
        <f>_xlfn.XLOOKUP(__xlnm._FilterDatabase_1511[[#This Row],[SAPSA Number]],Table1[SAPSA number],Table1[Name])</f>
        <v>Frederick John</v>
      </c>
      <c r="E7" s="39" t="str">
        <f>_xlfn.XLOOKUP(__xlnm._FilterDatabase_1511[[#This Row],[SAPSA Number]],Table1[SAPSA number],Table1[Surname])</f>
        <v>Turnbull</v>
      </c>
      <c r="F7" s="20" t="str">
        <f>_xlfn.XLOOKUP(__xlnm._FilterDatabase_1511[[#This Row],[SAPSA Number]],Table1[SAPSA number],Table1[Initials])</f>
        <v>FJ</v>
      </c>
      <c r="G7" s="17" t="str">
        <f ca="1">_xlfn.XLOOKUP(__xlnm._FilterDatabase_1511[[#This Row],[SAPSA Number]],Table1[SAPSA number],Table1[Gender])</f>
        <v>SS</v>
      </c>
      <c r="H7" s="19" t="e">
        <f>_xlfn.XLOOKUP(__xlnm._FilterDatabase_1511[[#This Row],[SAPSA Number]],#REF!,#REF!)</f>
        <v>#REF!</v>
      </c>
      <c r="I7" s="19" t="s">
        <v>238</v>
      </c>
      <c r="J7" s="21">
        <f t="shared" si="1"/>
        <v>1</v>
      </c>
      <c r="K7" s="22">
        <f t="shared" si="2"/>
        <v>14.991440000000001</v>
      </c>
      <c r="L7" s="79">
        <v>0</v>
      </c>
      <c r="M7" s="80">
        <v>0</v>
      </c>
      <c r="N7" s="79">
        <v>0</v>
      </c>
      <c r="O7" s="80">
        <v>74.9572</v>
      </c>
      <c r="P7" s="79">
        <v>0</v>
      </c>
      <c r="Q7" s="80">
        <v>0</v>
      </c>
      <c r="R7" s="79">
        <v>0</v>
      </c>
      <c r="S7" s="80">
        <v>0</v>
      </c>
      <c r="T7" s="79">
        <v>0</v>
      </c>
      <c r="U7" s="80">
        <v>0</v>
      </c>
      <c r="V7" s="23">
        <v>0</v>
      </c>
      <c r="W7" s="24">
        <v>0</v>
      </c>
    </row>
    <row r="8" spans="1:23" ht="14.4" customHeight="1" x14ac:dyDescent="0.3">
      <c r="A8" s="17">
        <f t="shared" si="0"/>
        <v>7</v>
      </c>
      <c r="B8" s="25">
        <v>1471</v>
      </c>
      <c r="C8" s="25" t="str">
        <f>_xlfn.XLOOKUP(__xlnm._FilterDatabase_1511[[#This Row],[SAPSA Number]],Table1[SAPSA number],Table1[Paid up])</f>
        <v>Y</v>
      </c>
      <c r="D8" s="39" t="str">
        <f>_xlfn.XLOOKUP(__xlnm._FilterDatabase_1511[[#This Row],[SAPSA Number]],Table1[SAPSA number],Table1[Name])</f>
        <v>Nikolaus Phillip Karl</v>
      </c>
      <c r="E8" s="39" t="str">
        <f>_xlfn.XLOOKUP(__xlnm._FilterDatabase_1511[[#This Row],[SAPSA Number]],Table1[SAPSA number],Table1[Surname])</f>
        <v>Bernhard</v>
      </c>
      <c r="F8" s="20" t="str">
        <f>_xlfn.XLOOKUP(__xlnm._FilterDatabase_1511[[#This Row],[SAPSA Number]],Table1[SAPSA number],Table1[Initials])</f>
        <v>NPK</v>
      </c>
      <c r="G8" s="17" t="str">
        <f ca="1">_xlfn.XLOOKUP(__xlnm._FilterDatabase_1511[[#This Row],[SAPSA Number]],Table1[SAPSA number],Table1[Gender])</f>
        <v xml:space="preserve"> </v>
      </c>
      <c r="H8" s="19" t="e">
        <f>_xlfn.XLOOKUP(__xlnm._FilterDatabase_1511[[#This Row],[SAPSA Number]],#REF!,#REF!)</f>
        <v>#REF!</v>
      </c>
      <c r="I8" s="19" t="s">
        <v>238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 t="shared" si="0"/>
        <v>7</v>
      </c>
      <c r="B9" s="25">
        <v>4624</v>
      </c>
      <c r="C9" s="25" t="str">
        <f>_xlfn.XLOOKUP(__xlnm._FilterDatabase_1511[[#This Row],[SAPSA Number]],Table1[SAPSA number],Table1[Paid up])</f>
        <v>Y</v>
      </c>
      <c r="D9" s="39" t="str">
        <f>_xlfn.XLOOKUP(__xlnm._FilterDatabase_1511[[#This Row],[SAPSA Number]],Table1[SAPSA number],Table1[Name])</f>
        <v>Stephanus Christiaan</v>
      </c>
      <c r="E9" s="39" t="str">
        <f>_xlfn.XLOOKUP(__xlnm._FilterDatabase_1511[[#This Row],[SAPSA Number]],Table1[SAPSA number],Table1[Surname])</f>
        <v>Bester</v>
      </c>
      <c r="F9" s="20" t="str">
        <f>_xlfn.XLOOKUP(__xlnm._FilterDatabase_1511[[#This Row],[SAPSA Number]],Table1[SAPSA number],Table1[Initials])</f>
        <v>SC</v>
      </c>
      <c r="G9" s="17" t="str">
        <f ca="1">_xlfn.XLOOKUP(__xlnm._FilterDatabase_1511[[#This Row],[SAPSA Number]],Table1[SAPSA number],Table1[Gender])</f>
        <v>S</v>
      </c>
      <c r="H9" s="19" t="e">
        <f>_xlfn.XLOOKUP(__xlnm._FilterDatabase_1511[[#This Row],[SAPSA Number]],#REF!,#REF!)</f>
        <v>#REF!</v>
      </c>
      <c r="I9" s="19" t="s">
        <v>238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si="0"/>
        <v>7</v>
      </c>
      <c r="B10" s="25">
        <v>7431</v>
      </c>
      <c r="C10" s="25">
        <f>_xlfn.XLOOKUP(__xlnm._FilterDatabase_1511[[#This Row],[SAPSA Number]],Table1[SAPSA number],Table1[Paid up])</f>
        <v>0</v>
      </c>
      <c r="D10" s="39" t="str">
        <f>_xlfn.XLOOKUP(__xlnm._FilterDatabase_1511[[#This Row],[SAPSA Number]],Table1[SAPSA number],Table1[Name])</f>
        <v>Anton</v>
      </c>
      <c r="E10" s="39" t="str">
        <f>_xlfn.XLOOKUP(__xlnm._FilterDatabase_1511[[#This Row],[SAPSA Number]],Table1[SAPSA number],Table1[Surname])</f>
        <v>Booyse</v>
      </c>
      <c r="F10" s="20" t="str">
        <f>_xlfn.XLOOKUP(__xlnm._FilterDatabase_1511[[#This Row],[SAPSA Number]],Table1[SAPSA number],Table1[Initials])</f>
        <v>A</v>
      </c>
      <c r="G10" s="17">
        <f>_xlfn.XLOOKUP(__xlnm._FilterDatabase_1511[[#This Row],[SAPSA Number]],Table1[SAPSA number],Table1[Gender])</f>
        <v>0</v>
      </c>
      <c r="H10" s="19" t="e">
        <f>_xlfn.XLOOKUP(__xlnm._FilterDatabase_1511[[#This Row],[SAPSA Number]],#REF!,#REF!)</f>
        <v>#REF!</v>
      </c>
      <c r="I10" s="19" t="s">
        <v>238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0"/>
        <v>7</v>
      </c>
      <c r="B11" s="25">
        <v>3349</v>
      </c>
      <c r="C11" s="25">
        <f>_xlfn.XLOOKUP(__xlnm._FilterDatabase_1511[[#This Row],[SAPSA Number]],Table1[SAPSA number],Table1[Paid up])</f>
        <v>0</v>
      </c>
      <c r="D11" s="39" t="str">
        <f>_xlfn.XLOOKUP(__xlnm._FilterDatabase_1511[[#This Row],[SAPSA Number]],Table1[SAPSA number],Table1[Name])</f>
        <v>Stefanus Christiaan</v>
      </c>
      <c r="E11" s="39" t="str">
        <f>_xlfn.XLOOKUP(__xlnm._FilterDatabase_1511[[#This Row],[SAPSA Number]],Table1[SAPSA number],Table1[Surname])</f>
        <v>Bosch</v>
      </c>
      <c r="F11" s="20" t="str">
        <f>_xlfn.XLOOKUP(__xlnm._FilterDatabase_1511[[#This Row],[SAPSA Number]],Table1[SAPSA number],Table1[Initials])</f>
        <v>SC</v>
      </c>
      <c r="G11" s="17" t="str">
        <f ca="1">_xlfn.XLOOKUP(__xlnm._FilterDatabase_1511[[#This Row],[SAPSA Number]],Table1[SAPSA number],Table1[Gender])</f>
        <v>S</v>
      </c>
      <c r="H11" s="19" t="e">
        <f>_xlfn.XLOOKUP(__xlnm._FilterDatabase_1511[[#This Row],[SAPSA Number]],#REF!,#REF!)</f>
        <v>#REF!</v>
      </c>
      <c r="I11" s="19" t="s">
        <v>238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>RANK(K12,K$2:K$156,0)</f>
        <v>7</v>
      </c>
      <c r="B12" s="18">
        <v>4621</v>
      </c>
      <c r="C12" s="25">
        <f>_xlfn.XLOOKUP(__xlnm._FilterDatabase_1511[[#This Row],[SAPSA Number]],Table1[SAPSA number],Table1[Paid up])</f>
        <v>0</v>
      </c>
      <c r="D12" s="39" t="str">
        <f>_xlfn.XLOOKUP(__xlnm._FilterDatabase_1511[[#This Row],[SAPSA Number]],Table1[SAPSA number],Table1[Name])</f>
        <v>Colin</v>
      </c>
      <c r="E12" s="39" t="str">
        <f>_xlfn.XLOOKUP(__xlnm._FilterDatabase_1511[[#This Row],[SAPSA Number]],Table1[SAPSA number],Table1[Surname])</f>
        <v>Bowring</v>
      </c>
      <c r="F12" s="20" t="str">
        <f>_xlfn.XLOOKUP(__xlnm._FilterDatabase_1511[[#This Row],[SAPSA Number]],Table1[SAPSA number],Table1[Initials])</f>
        <v>C</v>
      </c>
      <c r="G12" s="17" t="str">
        <f ca="1">_xlfn.XLOOKUP(__xlnm._FilterDatabase_1511[[#This Row],[SAPSA Number]],Table1[SAPSA number],Table1[Gender])</f>
        <v>SS</v>
      </c>
      <c r="H12" s="19" t="e">
        <f>_xlfn.XLOOKUP(__xlnm._FilterDatabase_1511[[#This Row],[SAPSA Number]],#REF!,#REF!)</f>
        <v>#REF!</v>
      </c>
      <c r="I12" s="19" t="s">
        <v>238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ref="A13:A44" si="3">RANK(K13,K$2:K$137,0)</f>
        <v>7</v>
      </c>
      <c r="B13" s="18">
        <v>3338</v>
      </c>
      <c r="C13" s="25">
        <f>_xlfn.XLOOKUP(__xlnm._FilterDatabase_1511[[#This Row],[SAPSA Number]],Table1[SAPSA number],Table1[Paid up])</f>
        <v>0</v>
      </c>
      <c r="D13" s="39" t="str">
        <f>_xlfn.XLOOKUP(__xlnm._FilterDatabase_1511[[#This Row],[SAPSA Number]],Table1[SAPSA number],Table1[Name])</f>
        <v>Carl Johann</v>
      </c>
      <c r="E13" s="39" t="str">
        <f>_xlfn.XLOOKUP(__xlnm._FilterDatabase_1511[[#This Row],[SAPSA Number]],Table1[SAPSA number],Table1[Surname])</f>
        <v>Brandt</v>
      </c>
      <c r="F13" s="20" t="str">
        <f>_xlfn.XLOOKUP(__xlnm._FilterDatabase_1511[[#This Row],[SAPSA Number]],Table1[SAPSA number],Table1[Initials])</f>
        <v>CJ</v>
      </c>
      <c r="G13" s="17" t="str">
        <f ca="1">_xlfn.XLOOKUP(__xlnm._FilterDatabase_1511[[#This Row],[SAPSA Number]],Table1[SAPSA number],Table1[Gender])</f>
        <v>S</v>
      </c>
      <c r="H13" s="19" t="e">
        <f>_xlfn.XLOOKUP(__xlnm._FilterDatabase_1511[[#This Row],[SAPSA Number]],#REF!,#REF!)</f>
        <v>#REF!</v>
      </c>
      <c r="I13" s="19" t="s">
        <v>238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3"/>
        <v>7</v>
      </c>
      <c r="B14" s="25">
        <v>3350</v>
      </c>
      <c r="C14" s="25">
        <f>_xlfn.XLOOKUP(__xlnm._FilterDatabase_1511[[#This Row],[SAPSA Number]],Table1[SAPSA number],Table1[Paid up])</f>
        <v>0</v>
      </c>
      <c r="D14" s="39" t="str">
        <f>_xlfn.XLOOKUP(__xlnm._FilterDatabase_1511[[#This Row],[SAPSA Number]],Table1[SAPSA number],Table1[Name])</f>
        <v>Conrad Ernest</v>
      </c>
      <c r="E14" s="39" t="str">
        <f>_xlfn.XLOOKUP(__xlnm._FilterDatabase_1511[[#This Row],[SAPSA Number]],Table1[SAPSA number],Table1[Surname])</f>
        <v>Brandt</v>
      </c>
      <c r="F14" s="20" t="str">
        <f>_xlfn.XLOOKUP(__xlnm._FilterDatabase_1511[[#This Row],[SAPSA Number]],Table1[SAPSA number],Table1[Initials])</f>
        <v>CE</v>
      </c>
      <c r="G14" s="17" t="str">
        <f ca="1">_xlfn.XLOOKUP(__xlnm._FilterDatabase_1511[[#This Row],[SAPSA Number]],Table1[SAPSA number],Table1[Gender])</f>
        <v>S</v>
      </c>
      <c r="H14" s="19" t="e">
        <f>_xlfn.XLOOKUP(__xlnm._FilterDatabase_1511[[#This Row],[SAPSA Number]],#REF!,#REF!)</f>
        <v>#REF!</v>
      </c>
      <c r="I14" s="19" t="s">
        <v>238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3"/>
        <v>7</v>
      </c>
      <c r="B15" s="25">
        <v>3576</v>
      </c>
      <c r="C15" s="25" t="str">
        <f>_xlfn.XLOOKUP(__xlnm._FilterDatabase_1511[[#This Row],[SAPSA Number]],Table1[SAPSA number],Table1[Paid up])</f>
        <v>Y</v>
      </c>
      <c r="D15" s="39" t="str">
        <f>_xlfn.XLOOKUP(__xlnm._FilterDatabase_1511[[#This Row],[SAPSA Number]],Table1[SAPSA number],Table1[Name])</f>
        <v>Christoff Mechiel</v>
      </c>
      <c r="E15" s="39" t="str">
        <f>_xlfn.XLOOKUP(__xlnm._FilterDatabase_1511[[#This Row],[SAPSA Number]],Table1[SAPSA number],Table1[Surname])</f>
        <v>Brandt</v>
      </c>
      <c r="F15" s="20" t="str">
        <f>_xlfn.XLOOKUP(__xlnm._FilterDatabase_1511[[#This Row],[SAPSA Number]],Table1[SAPSA number],Table1[Initials])</f>
        <v>CM</v>
      </c>
      <c r="G15" s="17" t="str">
        <f ca="1">_xlfn.XLOOKUP(__xlnm._FilterDatabase_1511[[#This Row],[SAPSA Number]],Table1[SAPSA number],Table1[Gender])</f>
        <v xml:space="preserve"> </v>
      </c>
      <c r="H15" s="19" t="e">
        <f>_xlfn.XLOOKUP(__xlnm._FilterDatabase_1511[[#This Row],[SAPSA Number]],#REF!,#REF!)</f>
        <v>#REF!</v>
      </c>
      <c r="I15" s="19" t="s">
        <v>238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3"/>
        <v>7</v>
      </c>
      <c r="B16" s="40">
        <v>5304</v>
      </c>
      <c r="C16" s="25">
        <f>_xlfn.XLOOKUP(__xlnm._FilterDatabase_1511[[#This Row],[SAPSA Number]],Table1[SAPSA number],Table1[Paid up])</f>
        <v>0</v>
      </c>
      <c r="D16" s="39" t="str">
        <f>_xlfn.XLOOKUP(__xlnm._FilterDatabase_1511[[#This Row],[SAPSA Number]],Table1[SAPSA number],Table1[Name])</f>
        <v>Johan Gerard</v>
      </c>
      <c r="E16" s="39" t="str">
        <f>_xlfn.XLOOKUP(__xlnm._FilterDatabase_1511[[#This Row],[SAPSA Number]],Table1[SAPSA number],Table1[Surname])</f>
        <v>Bultman</v>
      </c>
      <c r="F16" s="20" t="str">
        <f>_xlfn.XLOOKUP(__xlnm._FilterDatabase_1511[[#This Row],[SAPSA Number]],Table1[SAPSA number],Table1[Initials])</f>
        <v>JG</v>
      </c>
      <c r="G16" s="17" t="str">
        <f ca="1">_xlfn.XLOOKUP(__xlnm._FilterDatabase_1511[[#This Row],[SAPSA Number]],Table1[SAPSA number],Table1[Gender])</f>
        <v xml:space="preserve"> </v>
      </c>
      <c r="H16" s="19" t="e">
        <f>_xlfn.XLOOKUP(__xlnm._FilterDatabase_1511[[#This Row],[SAPSA Number]],#REF!,#REF!)</f>
        <v>#REF!</v>
      </c>
      <c r="I16" s="19" t="s">
        <v>238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3"/>
        <v>7</v>
      </c>
      <c r="B17" s="25">
        <v>259</v>
      </c>
      <c r="C17" s="25" t="str">
        <f>_xlfn.XLOOKUP(__xlnm._FilterDatabase_1511[[#This Row],[SAPSA Number]],Table1[SAPSA number],Table1[Paid up])</f>
        <v>Y</v>
      </c>
      <c r="D17" s="39" t="str">
        <f>_xlfn.XLOOKUP(__xlnm._FilterDatabase_1511[[#This Row],[SAPSA Number]],Table1[SAPSA number],Table1[Name])</f>
        <v>Kathleen Beresford</v>
      </c>
      <c r="E17" s="39" t="str">
        <f>_xlfn.XLOOKUP(__xlnm._FilterDatabase_1511[[#This Row],[SAPSA Number]],Table1[SAPSA number],Table1[Surname])</f>
        <v>Carter</v>
      </c>
      <c r="F17" s="20" t="str">
        <f>_xlfn.XLOOKUP(__xlnm._FilterDatabase_1511[[#This Row],[SAPSA Number]],Table1[SAPSA number],Table1[Initials])</f>
        <v>KB</v>
      </c>
      <c r="G17" s="17" t="str">
        <f>_xlfn.XLOOKUP(__xlnm._FilterDatabase_1511[[#This Row],[SAPSA Number]],Table1[SAPSA number],Table1[Gender])</f>
        <v>Lady</v>
      </c>
      <c r="H17" s="19" t="e">
        <f>_xlfn.XLOOKUP(__xlnm._FilterDatabase_1511[[#This Row],[SAPSA Number]],#REF!,#REF!)</f>
        <v>#REF!</v>
      </c>
      <c r="I17" s="19" t="s">
        <v>238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3"/>
        <v>7</v>
      </c>
      <c r="B18" s="25">
        <v>4316</v>
      </c>
      <c r="C18" s="25" t="str">
        <f>_xlfn.XLOOKUP(__xlnm._FilterDatabase_1511[[#This Row],[SAPSA Number]],Table1[SAPSA number],Table1[Paid up])</f>
        <v>Y</v>
      </c>
      <c r="D18" s="39" t="str">
        <f>_xlfn.XLOOKUP(__xlnm._FilterDatabase_1511[[#This Row],[SAPSA Number]],Table1[SAPSA number],Table1[Name])</f>
        <v>Wilhelm Jacobus</v>
      </c>
      <c r="E18" s="39" t="str">
        <f>_xlfn.XLOOKUP(__xlnm._FilterDatabase_1511[[#This Row],[SAPSA Number]],Table1[SAPSA number],Table1[Surname])</f>
        <v>Coetzee</v>
      </c>
      <c r="F18" s="20" t="str">
        <f>_xlfn.XLOOKUP(__xlnm._FilterDatabase_1511[[#This Row],[SAPSA Number]],Table1[SAPSA number],Table1[Initials])</f>
        <v>WJ</v>
      </c>
      <c r="G18" s="17" t="str">
        <f ca="1">_xlfn.XLOOKUP(__xlnm._FilterDatabase_1511[[#This Row],[SAPSA Number]],Table1[SAPSA number],Table1[Gender])</f>
        <v>S</v>
      </c>
      <c r="H18" s="19" t="e">
        <f>_xlfn.XLOOKUP(__xlnm._FilterDatabase_1511[[#This Row],[SAPSA Number]],#REF!,#REF!)</f>
        <v>#REF!</v>
      </c>
      <c r="I18" s="19" t="s">
        <v>238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3"/>
        <v>7</v>
      </c>
      <c r="B19" s="86">
        <v>591</v>
      </c>
      <c r="C19" s="25" t="str">
        <f>_xlfn.XLOOKUP(__xlnm._FilterDatabase_1511[[#This Row],[SAPSA Number]],Table1[SAPSA number],Table1[Paid up])</f>
        <v>Y</v>
      </c>
      <c r="D19" s="39" t="str">
        <f>_xlfn.XLOOKUP(__xlnm._FilterDatabase_1511[[#This Row],[SAPSA Number]],Table1[SAPSA number],Table1[Name])</f>
        <v>Enrico</v>
      </c>
      <c r="E19" s="39" t="str">
        <f>_xlfn.XLOOKUP(__xlnm._FilterDatabase_1511[[#This Row],[SAPSA Number]],Table1[SAPSA number],Table1[Surname])</f>
        <v>Cupido</v>
      </c>
      <c r="F19" s="20" t="str">
        <f>_xlfn.XLOOKUP(__xlnm._FilterDatabase_1511[[#This Row],[SAPSA Number]],Table1[SAPSA number],Table1[Initials])</f>
        <v>E</v>
      </c>
      <c r="G19" s="17" t="str">
        <f ca="1">_xlfn.XLOOKUP(__xlnm._FilterDatabase_1511[[#This Row],[SAPSA Number]],Table1[SAPSA number],Table1[Gender])</f>
        <v>GS</v>
      </c>
      <c r="H19" s="19" t="e">
        <f>_xlfn.XLOOKUP(__xlnm._FilterDatabase_1511[[#This Row],[SAPSA Number]],#REF!,#REF!)</f>
        <v>#REF!</v>
      </c>
      <c r="I19" s="19" t="s">
        <v>238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3"/>
        <v>7</v>
      </c>
      <c r="B20" s="86">
        <v>601</v>
      </c>
      <c r="C20" s="25" t="str">
        <f>_xlfn.XLOOKUP(__xlnm._FilterDatabase_1511[[#This Row],[SAPSA Number]],Table1[SAPSA number],Table1[Paid up])</f>
        <v>Y</v>
      </c>
      <c r="D20" s="39" t="str">
        <f>_xlfn.XLOOKUP(__xlnm._FilterDatabase_1511[[#This Row],[SAPSA Number]],Table1[SAPSA number],Table1[Name])</f>
        <v>Piero</v>
      </c>
      <c r="E20" s="39" t="str">
        <f>_xlfn.XLOOKUP(__xlnm._FilterDatabase_1511[[#This Row],[SAPSA Number]],Table1[SAPSA number],Table1[Surname])</f>
        <v>Cupido</v>
      </c>
      <c r="F20" s="20" t="str">
        <f>_xlfn.XLOOKUP(__xlnm._FilterDatabase_1511[[#This Row],[SAPSA Number]],Table1[SAPSA number],Table1[Initials])</f>
        <v>P</v>
      </c>
      <c r="G20" s="17" t="str">
        <f ca="1">_xlfn.XLOOKUP(__xlnm._FilterDatabase_1511[[#This Row],[SAPSA Number]],Table1[SAPSA number],Table1[Gender])</f>
        <v xml:space="preserve"> </v>
      </c>
      <c r="H20" s="19" t="e">
        <f>_xlfn.XLOOKUP(__xlnm._FilterDatabase_1511[[#This Row],[SAPSA Number]],#REF!,#REF!)</f>
        <v>#REF!</v>
      </c>
      <c r="I20" s="19" t="s">
        <v>238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3"/>
        <v>7</v>
      </c>
      <c r="B21" s="25">
        <v>288</v>
      </c>
      <c r="C21" s="25" t="str">
        <f>_xlfn.XLOOKUP(__xlnm._FilterDatabase_1511[[#This Row],[SAPSA Number]],Table1[SAPSA number],Table1[Paid up])</f>
        <v>Y</v>
      </c>
      <c r="D21" s="39" t="str">
        <f>_xlfn.XLOOKUP(__xlnm._FilterDatabase_1511[[#This Row],[SAPSA Number]],Table1[SAPSA number],Table1[Name])</f>
        <v>Feroz</v>
      </c>
      <c r="E21" s="39" t="str">
        <f>_xlfn.XLOOKUP(__xlnm._FilterDatabase_1511[[#This Row],[SAPSA Number]],Table1[SAPSA number],Table1[Surname])</f>
        <v>Daya</v>
      </c>
      <c r="F21" s="20" t="str">
        <f>_xlfn.XLOOKUP(__xlnm._FilterDatabase_1511[[#This Row],[SAPSA Number]],Table1[SAPSA number],Table1[Initials])</f>
        <v>F</v>
      </c>
      <c r="G21" s="17" t="str">
        <f ca="1">_xlfn.XLOOKUP(__xlnm._FilterDatabase_1511[[#This Row],[SAPSA Number]],Table1[SAPSA number],Table1[Gender])</f>
        <v>S</v>
      </c>
      <c r="H21" s="19" t="e">
        <f>_xlfn.XLOOKUP(__xlnm._FilterDatabase_1511[[#This Row],[SAPSA Number]],#REF!,#REF!)</f>
        <v>#REF!</v>
      </c>
      <c r="I21" s="19" t="s">
        <v>238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3"/>
        <v>7</v>
      </c>
      <c r="B22" s="40">
        <v>6846</v>
      </c>
      <c r="C22" s="25">
        <f>_xlfn.XLOOKUP(__xlnm._FilterDatabase_1511[[#This Row],[SAPSA Number]],Table1[SAPSA number],Table1[Paid up])</f>
        <v>0</v>
      </c>
      <c r="D22" s="39" t="str">
        <f>_xlfn.XLOOKUP(__xlnm._FilterDatabase_1511[[#This Row],[SAPSA Number]],Table1[SAPSA number],Table1[Name])</f>
        <v>Daniel Stephanus Jacobus</v>
      </c>
      <c r="E22" s="39" t="str">
        <f>_xlfn.XLOOKUP(__xlnm._FilterDatabase_1511[[#This Row],[SAPSA Number]],Table1[SAPSA number],Table1[Surname])</f>
        <v>Dreyer</v>
      </c>
      <c r="F22" s="20" t="str">
        <f>_xlfn.XLOOKUP(__xlnm._FilterDatabase_1511[[#This Row],[SAPSA Number]],Table1[SAPSA number],Table1[Initials])</f>
        <v>DSJ</v>
      </c>
      <c r="G22" s="17" t="str">
        <f ca="1">_xlfn.XLOOKUP(__xlnm._FilterDatabase_1511[[#This Row],[SAPSA Number]],Table1[SAPSA number],Table1[Gender])</f>
        <v xml:space="preserve"> </v>
      </c>
      <c r="H22" s="19" t="e">
        <f>_xlfn.XLOOKUP(__xlnm._FilterDatabase_1511[[#This Row],[SAPSA Number]],#REF!,#REF!)</f>
        <v>#REF!</v>
      </c>
      <c r="I22" s="19" t="s">
        <v>238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3"/>
        <v>7</v>
      </c>
      <c r="B23" s="25">
        <v>392</v>
      </c>
      <c r="C23" s="25" t="str">
        <f>_xlfn.XLOOKUP(__xlnm._FilterDatabase_1511[[#This Row],[SAPSA Number]],Table1[SAPSA number],Table1[Paid up])</f>
        <v>Y</v>
      </c>
      <c r="D23" s="39" t="str">
        <f>_xlfn.XLOOKUP(__xlnm._FilterDatabase_1511[[#This Row],[SAPSA Number]],Table1[SAPSA number],Table1[Name])</f>
        <v>Sasha-Lee</v>
      </c>
      <c r="E23" s="39" t="str">
        <f>_xlfn.XLOOKUP(__xlnm._FilterDatabase_1511[[#This Row],[SAPSA Number]],Table1[SAPSA number],Table1[Surname])</f>
        <v>Du Plessis</v>
      </c>
      <c r="F23" s="20" t="str">
        <f>_xlfn.XLOOKUP(__xlnm._FilterDatabase_1511[[#This Row],[SAPSA Number]],Table1[SAPSA number],Table1[Initials])</f>
        <v>SL</v>
      </c>
      <c r="G23" s="17" t="str">
        <f>_xlfn.XLOOKUP(__xlnm._FilterDatabase_1511[[#This Row],[SAPSA Number]],Table1[SAPSA number],Table1[Gender])</f>
        <v>Lady</v>
      </c>
      <c r="H23" s="19" t="e">
        <f>_xlfn.XLOOKUP(__xlnm._FilterDatabase_1511[[#This Row],[SAPSA Number]],#REF!,#REF!)</f>
        <v>#REF!</v>
      </c>
      <c r="I23" s="19" t="s">
        <v>238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3"/>
        <v>7</v>
      </c>
      <c r="B24" s="18">
        <v>127</v>
      </c>
      <c r="C24" s="25" t="str">
        <f>_xlfn.XLOOKUP(__xlnm._FilterDatabase_1511[[#This Row],[SAPSA Number]],Table1[SAPSA number],Table1[Paid up])</f>
        <v>Y</v>
      </c>
      <c r="D24" s="39" t="str">
        <f>_xlfn.XLOOKUP(__xlnm._FilterDatabase_1511[[#This Row],[SAPSA Number]],Table1[SAPSA number],Table1[Name])</f>
        <v>Eurika Susara</v>
      </c>
      <c r="E24" s="39" t="str">
        <f>_xlfn.XLOOKUP(__xlnm._FilterDatabase_1511[[#This Row],[SAPSA Number]],Table1[SAPSA number],Table1[Surname])</f>
        <v>Du Plooy</v>
      </c>
      <c r="F24" s="20" t="str">
        <f>_xlfn.XLOOKUP(__xlnm._FilterDatabase_1511[[#This Row],[SAPSA Number]],Table1[SAPSA number],Table1[Initials])</f>
        <v>E</v>
      </c>
      <c r="G24" s="17" t="str">
        <f>_xlfn.XLOOKUP(__xlnm._FilterDatabase_1511[[#This Row],[SAPSA Number]],Table1[SAPSA number],Table1[Gender])</f>
        <v>SS</v>
      </c>
      <c r="H24" s="19" t="e">
        <f>_xlfn.XLOOKUP(__xlnm._FilterDatabase_1511[[#This Row],[SAPSA Number]],#REF!,#REF!)</f>
        <v>#REF!</v>
      </c>
      <c r="I24" s="19" t="s">
        <v>238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3"/>
        <v>7</v>
      </c>
      <c r="B25" s="25">
        <v>393</v>
      </c>
      <c r="C25" s="25" t="str">
        <f>_xlfn.XLOOKUP(__xlnm._FilterDatabase_1511[[#This Row],[SAPSA Number]],Table1[SAPSA number],Table1[Paid up])</f>
        <v>Y</v>
      </c>
      <c r="D25" s="39" t="str">
        <f>_xlfn.XLOOKUP(__xlnm._FilterDatabase_1511[[#This Row],[SAPSA Number]],Table1[SAPSA number],Table1[Name])</f>
        <v>Robyn Angela</v>
      </c>
      <c r="E25" s="39" t="str">
        <f>_xlfn.XLOOKUP(__xlnm._FilterDatabase_1511[[#This Row],[SAPSA Number]],Table1[SAPSA number],Table1[Surname])</f>
        <v>Evans</v>
      </c>
      <c r="F25" s="20" t="str">
        <f>_xlfn.XLOOKUP(__xlnm._FilterDatabase_1511[[#This Row],[SAPSA Number]],Table1[SAPSA number],Table1[Initials])</f>
        <v>RA</v>
      </c>
      <c r="G25" s="17" t="str">
        <f>_xlfn.XLOOKUP(__xlnm._FilterDatabase_1511[[#This Row],[SAPSA Number]],Table1[SAPSA number],Table1[Gender])</f>
        <v>Lady</v>
      </c>
      <c r="H25" s="19" t="e">
        <f>_xlfn.XLOOKUP(__xlnm._FilterDatabase_1511[[#This Row],[SAPSA Number]],#REF!,#REF!)</f>
        <v>#REF!</v>
      </c>
      <c r="I25" s="19" t="s">
        <v>238</v>
      </c>
      <c r="J25" s="21">
        <f t="shared" si="1"/>
        <v>0</v>
      </c>
      <c r="K25" s="22">
        <f t="shared" si="2"/>
        <v>0</v>
      </c>
      <c r="L25" s="79">
        <v>0</v>
      </c>
      <c r="M25" s="80">
        <v>0</v>
      </c>
      <c r="N25" s="79">
        <v>0</v>
      </c>
      <c r="O25" s="80">
        <v>0</v>
      </c>
      <c r="P25" s="79">
        <v>0</v>
      </c>
      <c r="Q25" s="80">
        <v>0</v>
      </c>
      <c r="R25" s="79">
        <v>0</v>
      </c>
      <c r="S25" s="80">
        <v>0</v>
      </c>
      <c r="T25" s="79">
        <v>0</v>
      </c>
      <c r="U25" s="80">
        <v>0</v>
      </c>
      <c r="V25" s="23">
        <v>0</v>
      </c>
      <c r="W25" s="24">
        <v>0</v>
      </c>
    </row>
    <row r="26" spans="1:23" ht="14.4" customHeight="1" x14ac:dyDescent="0.3">
      <c r="A26" s="17">
        <f t="shared" si="3"/>
        <v>7</v>
      </c>
      <c r="B26" s="26">
        <v>3172</v>
      </c>
      <c r="C26" s="25" t="str">
        <f>_xlfn.XLOOKUP(__xlnm._FilterDatabase_1511[[#This Row],[SAPSA Number]],Table1[SAPSA number],Table1[Paid up])</f>
        <v>Y</v>
      </c>
      <c r="D26" s="39" t="str">
        <f>_xlfn.XLOOKUP(__xlnm._FilterDatabase_1511[[#This Row],[SAPSA Number]],Table1[SAPSA number],Table1[Name])</f>
        <v>Mervyn-John</v>
      </c>
      <c r="E26" s="39" t="str">
        <f>_xlfn.XLOOKUP(__xlnm._FilterDatabase_1511[[#This Row],[SAPSA Number]],Table1[SAPSA number],Table1[Surname])</f>
        <v>Evans</v>
      </c>
      <c r="F26" s="20" t="str">
        <f>_xlfn.XLOOKUP(__xlnm._FilterDatabase_1511[[#This Row],[SAPSA Number]],Table1[SAPSA number],Table1[Initials])</f>
        <v>MJ</v>
      </c>
      <c r="G26" s="17" t="str">
        <f ca="1">_xlfn.XLOOKUP(__xlnm._FilterDatabase_1511[[#This Row],[SAPSA Number]],Table1[SAPSA number],Table1[Gender])</f>
        <v>SS</v>
      </c>
      <c r="H26" s="19" t="e">
        <f>_xlfn.XLOOKUP(__xlnm._FilterDatabase_1511[[#This Row],[SAPSA Number]],#REF!,#REF!)</f>
        <v>#REF!</v>
      </c>
      <c r="I26" s="19" t="s">
        <v>238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3"/>
        <v>7</v>
      </c>
      <c r="B27" s="25">
        <v>3173</v>
      </c>
      <c r="C27" s="25" t="str">
        <f>_xlfn.XLOOKUP(__xlnm._FilterDatabase_1511[[#This Row],[SAPSA Number]],Table1[SAPSA number],Table1[Paid up])</f>
        <v>Y</v>
      </c>
      <c r="D27" s="39" t="str">
        <f>_xlfn.XLOOKUP(__xlnm._FilterDatabase_1511[[#This Row],[SAPSA Number]],Table1[SAPSA number],Table1[Name])</f>
        <v>Garrett-John</v>
      </c>
      <c r="E27" s="39" t="str">
        <f>_xlfn.XLOOKUP(__xlnm._FilterDatabase_1511[[#This Row],[SAPSA Number]],Table1[SAPSA number],Table1[Surname])</f>
        <v>Evans</v>
      </c>
      <c r="F27" s="20" t="str">
        <f>_xlfn.XLOOKUP(__xlnm._FilterDatabase_1511[[#This Row],[SAPSA Number]],Table1[SAPSA number],Table1[Initials])</f>
        <v>G-J</v>
      </c>
      <c r="G27" s="17" t="str">
        <f ca="1">_xlfn.XLOOKUP(__xlnm._FilterDatabase_1511[[#This Row],[SAPSA Number]],Table1[SAPSA number],Table1[Gender])</f>
        <v xml:space="preserve"> </v>
      </c>
      <c r="H27" s="19" t="e">
        <f>_xlfn.XLOOKUP(__xlnm._FilterDatabase_1511[[#This Row],[SAPSA Number]],#REF!,#REF!)</f>
        <v>#REF!</v>
      </c>
      <c r="I27" s="19" t="s">
        <v>238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3"/>
        <v>7</v>
      </c>
      <c r="B28" s="18">
        <v>7434</v>
      </c>
      <c r="C28" s="25">
        <f>_xlfn.XLOOKUP(__xlnm._FilterDatabase_1511[[#This Row],[SAPSA Number]],Table1[SAPSA number],Table1[Paid up])</f>
        <v>0</v>
      </c>
      <c r="D28" s="39" t="str">
        <f>_xlfn.XLOOKUP(__xlnm._FilterDatabase_1511[[#This Row],[SAPSA Number]],Table1[SAPSA number],Table1[Name])</f>
        <v>Shannon Kimberley</v>
      </c>
      <c r="E28" s="39" t="str">
        <f>_xlfn.XLOOKUP(__xlnm._FilterDatabase_1511[[#This Row],[SAPSA Number]],Table1[SAPSA number],Table1[Surname])</f>
        <v>Gahagan</v>
      </c>
      <c r="F28" s="20" t="str">
        <f>_xlfn.XLOOKUP(__xlnm._FilterDatabase_1511[[#This Row],[SAPSA Number]],Table1[SAPSA number],Table1[Initials])</f>
        <v>S</v>
      </c>
      <c r="G28" s="17" t="str">
        <f>_xlfn.XLOOKUP(__xlnm._FilterDatabase_1511[[#This Row],[SAPSA Number]],Table1[SAPSA number],Table1[Gender])</f>
        <v>Lady</v>
      </c>
      <c r="H28" s="19" t="e">
        <f>_xlfn.XLOOKUP(__xlnm._FilterDatabase_1511[[#This Row],[SAPSA Number]],#REF!,#REF!)</f>
        <v>#REF!</v>
      </c>
      <c r="I28" s="19" t="s">
        <v>238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3"/>
        <v>7</v>
      </c>
      <c r="B29" s="25">
        <v>3782</v>
      </c>
      <c r="C29" s="25">
        <f>_xlfn.XLOOKUP(__xlnm._FilterDatabase_1511[[#This Row],[SAPSA Number]],Table1[SAPSA number],Table1[Paid up])</f>
        <v>0</v>
      </c>
      <c r="D29" s="39" t="str">
        <f>_xlfn.XLOOKUP(__xlnm._FilterDatabase_1511[[#This Row],[SAPSA Number]],Table1[SAPSA number],Table1[Name])</f>
        <v>Gary Athol</v>
      </c>
      <c r="E29" s="39" t="str">
        <f>_xlfn.XLOOKUP(__xlnm._FilterDatabase_1511[[#This Row],[SAPSA Number]],Table1[SAPSA number],Table1[Surname])</f>
        <v>Hagemann</v>
      </c>
      <c r="F29" s="20" t="str">
        <f>_xlfn.XLOOKUP(__xlnm._FilterDatabase_1511[[#This Row],[SAPSA Number]],Table1[SAPSA number],Table1[Initials])</f>
        <v>GA</v>
      </c>
      <c r="G29" s="17" t="str">
        <f ca="1">_xlfn.XLOOKUP(__xlnm._FilterDatabase_1511[[#This Row],[SAPSA Number]],Table1[SAPSA number],Table1[Gender])</f>
        <v>S</v>
      </c>
      <c r="H29" s="19" t="e">
        <f>_xlfn.XLOOKUP(__xlnm._FilterDatabase_1511[[#This Row],[SAPSA Number]],#REF!,#REF!)</f>
        <v>#REF!</v>
      </c>
      <c r="I29" s="19" t="s">
        <v>238</v>
      </c>
      <c r="J29" s="21">
        <f t="shared" si="1"/>
        <v>0</v>
      </c>
      <c r="K29" s="22">
        <f t="shared" si="2"/>
        <v>0</v>
      </c>
      <c r="L29" s="79">
        <v>0</v>
      </c>
      <c r="M29" s="80">
        <v>0</v>
      </c>
      <c r="N29" s="79">
        <v>0</v>
      </c>
      <c r="O29" s="80">
        <v>0</v>
      </c>
      <c r="P29" s="79">
        <v>0</v>
      </c>
      <c r="Q29" s="80">
        <v>0</v>
      </c>
      <c r="R29" s="79">
        <v>0</v>
      </c>
      <c r="S29" s="80">
        <v>0</v>
      </c>
      <c r="T29" s="79">
        <v>0</v>
      </c>
      <c r="U29" s="80">
        <v>0</v>
      </c>
      <c r="V29" s="23">
        <v>0</v>
      </c>
      <c r="W29" s="24">
        <v>0</v>
      </c>
    </row>
    <row r="30" spans="1:23" ht="14.4" customHeight="1" x14ac:dyDescent="0.3">
      <c r="A30" s="17">
        <f t="shared" si="3"/>
        <v>7</v>
      </c>
      <c r="B30" s="25">
        <v>6308</v>
      </c>
      <c r="C30" s="25">
        <f>_xlfn.XLOOKUP(__xlnm._FilterDatabase_1511[[#This Row],[SAPSA Number]],Table1[SAPSA number],Table1[Paid up])</f>
        <v>0</v>
      </c>
      <c r="D30" s="39" t="str">
        <f>_xlfn.XLOOKUP(__xlnm._FilterDatabase_1511[[#This Row],[SAPSA Number]],Table1[SAPSA number],Table1[Name])</f>
        <v>James Matthew</v>
      </c>
      <c r="E30" s="39" t="str">
        <f>_xlfn.XLOOKUP(__xlnm._FilterDatabase_1511[[#This Row],[SAPSA Number]],Table1[SAPSA number],Table1[Surname])</f>
        <v>Hagemann</v>
      </c>
      <c r="F30" s="20" t="str">
        <f>_xlfn.XLOOKUP(__xlnm._FilterDatabase_1511[[#This Row],[SAPSA Number]],Table1[SAPSA number],Table1[Initials])</f>
        <v>JM</v>
      </c>
      <c r="G30" s="17" t="str">
        <f ca="1">_xlfn.XLOOKUP(__xlnm._FilterDatabase_1511[[#This Row],[SAPSA Number]],Table1[SAPSA number],Table1[Gender])</f>
        <v>Jnr</v>
      </c>
      <c r="H30" s="19" t="e">
        <f>_xlfn.XLOOKUP(__xlnm._FilterDatabase_1511[[#This Row],[SAPSA Number]],#REF!,#REF!)</f>
        <v>#REF!</v>
      </c>
      <c r="I30" s="19" t="s">
        <v>238</v>
      </c>
      <c r="J30" s="21">
        <f t="shared" si="1"/>
        <v>0</v>
      </c>
      <c r="K30" s="22">
        <f t="shared" si="2"/>
        <v>0</v>
      </c>
      <c r="L30" s="79">
        <v>0</v>
      </c>
      <c r="M30" s="80">
        <v>0</v>
      </c>
      <c r="N30" s="79">
        <v>0</v>
      </c>
      <c r="O30" s="80">
        <v>0</v>
      </c>
      <c r="P30" s="79">
        <v>0</v>
      </c>
      <c r="Q30" s="80">
        <v>0</v>
      </c>
      <c r="R30" s="79">
        <v>0</v>
      </c>
      <c r="S30" s="80">
        <v>0</v>
      </c>
      <c r="T30" s="79">
        <v>0</v>
      </c>
      <c r="U30" s="80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7</v>
      </c>
      <c r="B31" s="25">
        <v>7328</v>
      </c>
      <c r="C31" s="25" t="str">
        <f>_xlfn.XLOOKUP(__xlnm._FilterDatabase_1511[[#This Row],[SAPSA Number]],Table1[SAPSA number],Table1[Paid up])</f>
        <v>Y</v>
      </c>
      <c r="D31" s="39" t="str">
        <f>_xlfn.XLOOKUP(__xlnm._FilterDatabase_1511[[#This Row],[SAPSA Number]],Table1[SAPSA number],Table1[Name])</f>
        <v>Sizwe</v>
      </c>
      <c r="E31" s="39" t="str">
        <f>_xlfn.XLOOKUP(__xlnm._FilterDatabase_1511[[#This Row],[SAPSA Number]],Table1[SAPSA number],Table1[Surname])</f>
        <v>Hlongwane</v>
      </c>
      <c r="F31" s="20" t="str">
        <f>_xlfn.XLOOKUP(__xlnm._FilterDatabase_1511[[#This Row],[SAPSA Number]],Table1[SAPSA number],Table1[Initials])</f>
        <v>S</v>
      </c>
      <c r="G31" s="17" t="str">
        <f ca="1">_xlfn.XLOOKUP(__xlnm._FilterDatabase_1511[[#This Row],[SAPSA Number]],Table1[SAPSA number],Table1[Gender])</f>
        <v xml:space="preserve"> </v>
      </c>
      <c r="H31" s="19" t="e">
        <f>_xlfn.XLOOKUP(__xlnm._FilterDatabase_1511[[#This Row],[SAPSA Number]],#REF!,#REF!)</f>
        <v>#REF!</v>
      </c>
      <c r="I31" s="19" t="s">
        <v>238</v>
      </c>
      <c r="J31" s="21">
        <f t="shared" si="1"/>
        <v>0</v>
      </c>
      <c r="K31" s="22">
        <f t="shared" si="2"/>
        <v>0</v>
      </c>
      <c r="L31" s="79">
        <v>0</v>
      </c>
      <c r="M31" s="80">
        <v>0</v>
      </c>
      <c r="N31" s="79">
        <v>0</v>
      </c>
      <c r="O31" s="80">
        <v>0</v>
      </c>
      <c r="P31" s="79">
        <v>0</v>
      </c>
      <c r="Q31" s="80">
        <v>0</v>
      </c>
      <c r="R31" s="79">
        <v>0</v>
      </c>
      <c r="S31" s="80">
        <v>0</v>
      </c>
      <c r="T31" s="79">
        <v>0</v>
      </c>
      <c r="U31" s="80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7</v>
      </c>
      <c r="B32" s="25">
        <v>7271</v>
      </c>
      <c r="C32" s="25" t="str">
        <f>_xlfn.XLOOKUP(__xlnm._FilterDatabase_1511[[#This Row],[SAPSA Number]],Table1[SAPSA number],Table1[Paid up])</f>
        <v>Y</v>
      </c>
      <c r="D32" s="39" t="str">
        <f>_xlfn.XLOOKUP(__xlnm._FilterDatabase_1511[[#This Row],[SAPSA Number]],Table1[SAPSA number],Table1[Name])</f>
        <v>Johan</v>
      </c>
      <c r="E32" s="39" t="str">
        <f>_xlfn.XLOOKUP(__xlnm._FilterDatabase_1511[[#This Row],[SAPSA Number]],Table1[SAPSA number],Table1[Surname])</f>
        <v>Jacobs</v>
      </c>
      <c r="F32" s="20" t="str">
        <f>_xlfn.XLOOKUP(__xlnm._FilterDatabase_1511[[#This Row],[SAPSA Number]],Table1[SAPSA number],Table1[Initials])</f>
        <v>J</v>
      </c>
      <c r="G32" s="17" t="str">
        <f ca="1">_xlfn.XLOOKUP(__xlnm._FilterDatabase_1511[[#This Row],[SAPSA Number]],Table1[SAPSA number],Table1[Gender])</f>
        <v xml:space="preserve"> </v>
      </c>
      <c r="H32" s="19" t="e">
        <f>_xlfn.XLOOKUP(__xlnm._FilterDatabase_1511[[#This Row],[SAPSA Number]],#REF!,#REF!)</f>
        <v>#REF!</v>
      </c>
      <c r="I32" s="19" t="s">
        <v>238</v>
      </c>
      <c r="J32" s="21">
        <f t="shared" si="1"/>
        <v>0</v>
      </c>
      <c r="K32" s="22">
        <f t="shared" si="2"/>
        <v>0</v>
      </c>
      <c r="L32" s="79">
        <v>0</v>
      </c>
      <c r="M32" s="80">
        <v>0</v>
      </c>
      <c r="N32" s="79">
        <v>0</v>
      </c>
      <c r="O32" s="80">
        <v>0</v>
      </c>
      <c r="P32" s="79">
        <v>0</v>
      </c>
      <c r="Q32" s="80">
        <v>0</v>
      </c>
      <c r="R32" s="79">
        <v>0</v>
      </c>
      <c r="S32" s="80">
        <v>0</v>
      </c>
      <c r="T32" s="79">
        <v>0</v>
      </c>
      <c r="U32" s="80">
        <v>0</v>
      </c>
      <c r="V32" s="23">
        <v>0</v>
      </c>
      <c r="W32" s="24">
        <v>0</v>
      </c>
    </row>
    <row r="33" spans="1:23" ht="14.4" customHeight="1" x14ac:dyDescent="0.3">
      <c r="A33" s="17">
        <f t="shared" si="3"/>
        <v>7</v>
      </c>
      <c r="B33" s="25">
        <v>2655</v>
      </c>
      <c r="C33" s="25" t="str">
        <f>_xlfn.XLOOKUP(__xlnm._FilterDatabase_1511[[#This Row],[SAPSA Number]],Table1[SAPSA number],Table1[Paid up])</f>
        <v>Y</v>
      </c>
      <c r="D33" s="39" t="str">
        <f>_xlfn.XLOOKUP(__xlnm._FilterDatabase_1511[[#This Row],[SAPSA Number]],Table1[SAPSA number],Table1[Name])</f>
        <v>Ruben</v>
      </c>
      <c r="E33" s="39" t="str">
        <f>_xlfn.XLOOKUP(__xlnm._FilterDatabase_1511[[#This Row],[SAPSA Number]],Table1[SAPSA number],Table1[Surname])</f>
        <v>Joubert</v>
      </c>
      <c r="F33" s="20" t="str">
        <f>_xlfn.XLOOKUP(__xlnm._FilterDatabase_1511[[#This Row],[SAPSA Number]],Table1[SAPSA number],Table1[Initials])</f>
        <v>R</v>
      </c>
      <c r="G33" s="17" t="str">
        <f ca="1">_xlfn.XLOOKUP(__xlnm._FilterDatabase_1511[[#This Row],[SAPSA Number]],Table1[SAPSA number],Table1[Gender])</f>
        <v>Jnr</v>
      </c>
      <c r="H33" s="19" t="e">
        <f>_xlfn.XLOOKUP(__xlnm._FilterDatabase_1511[[#This Row],[SAPSA Number]],#REF!,#REF!)</f>
        <v>#REF!</v>
      </c>
      <c r="I33" s="19" t="s">
        <v>238</v>
      </c>
      <c r="J33" s="21">
        <f t="shared" si="1"/>
        <v>0</v>
      </c>
      <c r="K33" s="22">
        <f t="shared" si="2"/>
        <v>0</v>
      </c>
      <c r="L33" s="79">
        <v>0</v>
      </c>
      <c r="M33" s="80">
        <v>0</v>
      </c>
      <c r="N33" s="79">
        <v>0</v>
      </c>
      <c r="O33" s="80">
        <v>0</v>
      </c>
      <c r="P33" s="79">
        <v>0</v>
      </c>
      <c r="Q33" s="80">
        <v>0</v>
      </c>
      <c r="R33" s="79">
        <v>0</v>
      </c>
      <c r="S33" s="80">
        <v>0</v>
      </c>
      <c r="T33" s="79">
        <v>0</v>
      </c>
      <c r="U33" s="80">
        <v>0</v>
      </c>
      <c r="V33" s="23">
        <v>0</v>
      </c>
      <c r="W33" s="24">
        <v>0</v>
      </c>
    </row>
    <row r="34" spans="1:23" ht="14.4" customHeight="1" x14ac:dyDescent="0.3">
      <c r="A34" s="17">
        <f t="shared" si="3"/>
        <v>7</v>
      </c>
      <c r="B34" s="25">
        <v>4094</v>
      </c>
      <c r="C34" s="25" t="str">
        <f>_xlfn.XLOOKUP(__xlnm._FilterDatabase_1511[[#This Row],[SAPSA Number]],Table1[SAPSA number],Table1[Paid up])</f>
        <v>Y</v>
      </c>
      <c r="D34" s="39" t="str">
        <f>_xlfn.XLOOKUP(__xlnm._FilterDatabase_1511[[#This Row],[SAPSA Number]],Table1[SAPSA number],Table1[Name])</f>
        <v>Johan</v>
      </c>
      <c r="E34" s="39" t="str">
        <f>_xlfn.XLOOKUP(__xlnm._FilterDatabase_1511[[#This Row],[SAPSA Number]],Table1[SAPSA number],Table1[Surname])</f>
        <v>Kemp</v>
      </c>
      <c r="F34" s="20" t="str">
        <f>_xlfn.XLOOKUP(__xlnm._FilterDatabase_1511[[#This Row],[SAPSA Number]],Table1[SAPSA number],Table1[Initials])</f>
        <v>J</v>
      </c>
      <c r="G34" s="17" t="str">
        <f ca="1">_xlfn.XLOOKUP(__xlnm._FilterDatabase_1511[[#This Row],[SAPSA Number]],Table1[SAPSA number],Table1[Gender])</f>
        <v xml:space="preserve"> </v>
      </c>
      <c r="H34" s="19" t="e">
        <f>_xlfn.XLOOKUP(__xlnm._FilterDatabase_1511[[#This Row],[SAPSA Number]],#REF!,#REF!)</f>
        <v>#REF!</v>
      </c>
      <c r="I34" s="19" t="s">
        <v>238</v>
      </c>
      <c r="J34" s="21">
        <f t="shared" ref="J34:J70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3"/>
        <v>7</v>
      </c>
      <c r="B35" s="25">
        <v>6968</v>
      </c>
      <c r="C35" s="25" t="str">
        <f>_xlfn.XLOOKUP(__xlnm._FilterDatabase_1511[[#This Row],[SAPSA Number]],Table1[SAPSA number],Table1[Paid up])</f>
        <v>Y</v>
      </c>
      <c r="D35" s="39" t="str">
        <f>_xlfn.XLOOKUP(__xlnm._FilterDatabase_1511[[#This Row],[SAPSA Number]],Table1[SAPSA number],Table1[Name])</f>
        <v>Ian John</v>
      </c>
      <c r="E35" s="39" t="str">
        <f>_xlfn.XLOOKUP(__xlnm._FilterDatabase_1511[[#This Row],[SAPSA Number]],Table1[SAPSA number],Table1[Surname])</f>
        <v>Kewley</v>
      </c>
      <c r="F35" s="20" t="str">
        <f>_xlfn.XLOOKUP(__xlnm._FilterDatabase_1511[[#This Row],[SAPSA Number]],Table1[SAPSA number],Table1[Initials])</f>
        <v>IJ</v>
      </c>
      <c r="G35" s="17" t="str">
        <f ca="1">_xlfn.XLOOKUP(__xlnm._FilterDatabase_1511[[#This Row],[SAPSA Number]],Table1[SAPSA number],Table1[Gender])</f>
        <v xml:space="preserve"> </v>
      </c>
      <c r="H35" s="19" t="e">
        <f>_xlfn.XLOOKUP(__xlnm._FilterDatabase_1511[[#This Row],[SAPSA Number]],#REF!,#REF!)</f>
        <v>#REF!</v>
      </c>
      <c r="I35" s="19" t="s">
        <v>238</v>
      </c>
      <c r="J35" s="21">
        <f t="shared" si="4"/>
        <v>0</v>
      </c>
      <c r="K35" s="22">
        <f t="shared" si="5"/>
        <v>0</v>
      </c>
      <c r="L35" s="79">
        <v>0</v>
      </c>
      <c r="M35" s="80">
        <v>0</v>
      </c>
      <c r="N35" s="79">
        <v>0</v>
      </c>
      <c r="O35" s="80">
        <v>0</v>
      </c>
      <c r="P35" s="79">
        <v>0</v>
      </c>
      <c r="Q35" s="80">
        <v>0</v>
      </c>
      <c r="R35" s="79">
        <v>0</v>
      </c>
      <c r="S35" s="80">
        <v>0</v>
      </c>
      <c r="T35" s="79">
        <v>0</v>
      </c>
      <c r="U35" s="80">
        <v>0</v>
      </c>
      <c r="V35" s="23">
        <v>0</v>
      </c>
      <c r="W35" s="24">
        <v>0</v>
      </c>
    </row>
    <row r="36" spans="1:23" ht="14.4" customHeight="1" x14ac:dyDescent="0.3">
      <c r="A36" s="17">
        <f t="shared" si="3"/>
        <v>7</v>
      </c>
      <c r="B36" s="18">
        <v>7260</v>
      </c>
      <c r="C36" s="25">
        <f>_xlfn.XLOOKUP(__xlnm._FilterDatabase_1511[[#This Row],[SAPSA Number]],Table1[SAPSA number],Table1[Paid up])</f>
        <v>0</v>
      </c>
      <c r="D36" s="39" t="str">
        <f>_xlfn.XLOOKUP(__xlnm._FilterDatabase_1511[[#This Row],[SAPSA Number]],Table1[SAPSA number],Table1[Name])</f>
        <v>Glenn</v>
      </c>
      <c r="E36" s="39" t="str">
        <f>_xlfn.XLOOKUP(__xlnm._FilterDatabase_1511[[#This Row],[SAPSA Number]],Table1[SAPSA number],Table1[Surname])</f>
        <v>Kieser</v>
      </c>
      <c r="F36" s="20" t="str">
        <f>_xlfn.XLOOKUP(__xlnm._FilterDatabase_1511[[#This Row],[SAPSA Number]],Table1[SAPSA number],Table1[Initials])</f>
        <v>G</v>
      </c>
      <c r="G36" s="17" t="str">
        <f ca="1">_xlfn.XLOOKUP(__xlnm._FilterDatabase_1511[[#This Row],[SAPSA Number]],Table1[SAPSA number],Table1[Gender])</f>
        <v>SS</v>
      </c>
      <c r="H36" s="19" t="e">
        <f>_xlfn.XLOOKUP(__xlnm._FilterDatabase_1511[[#This Row],[SAPSA Number]],#REF!,#REF!)</f>
        <v>#REF!</v>
      </c>
      <c r="I36" s="19" t="s">
        <v>238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7</v>
      </c>
      <c r="B37" s="26">
        <v>252</v>
      </c>
      <c r="C37" s="25" t="str">
        <f>_xlfn.XLOOKUP(__xlnm._FilterDatabase_1511[[#This Row],[SAPSA Number]],Table1[SAPSA number],Table1[Paid up])</f>
        <v>Y</v>
      </c>
      <c r="D37" s="39" t="str">
        <f>_xlfn.XLOOKUP(__xlnm._FilterDatabase_1511[[#This Row],[SAPSA Number]],Table1[SAPSA number],Table1[Name])</f>
        <v>Deon</v>
      </c>
      <c r="E37" s="39" t="str">
        <f>_xlfn.XLOOKUP(__xlnm._FilterDatabase_1511[[#This Row],[SAPSA Number]],Table1[SAPSA number],Table1[Surname])</f>
        <v>Labuschagne</v>
      </c>
      <c r="F37" s="20" t="str">
        <f>_xlfn.XLOOKUP(__xlnm._FilterDatabase_1511[[#This Row],[SAPSA Number]],Table1[SAPSA number],Table1[Initials])</f>
        <v>D</v>
      </c>
      <c r="G37" s="17" t="str">
        <f ca="1">_xlfn.XLOOKUP(__xlnm._FilterDatabase_1511[[#This Row],[SAPSA Number]],Table1[SAPSA number],Table1[Gender])</f>
        <v>GS</v>
      </c>
      <c r="H37" s="19" t="e">
        <f>_xlfn.XLOOKUP(__xlnm._FilterDatabase_1511[[#This Row],[SAPSA Number]],#REF!,#REF!)</f>
        <v>#REF!</v>
      </c>
      <c r="I37" s="19" t="s">
        <v>238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7</v>
      </c>
      <c r="B38" s="27">
        <v>2651</v>
      </c>
      <c r="C38" s="25" t="str">
        <f>_xlfn.XLOOKUP(__xlnm._FilterDatabase_1511[[#This Row],[SAPSA Number]],Table1[SAPSA number],Table1[Paid up])</f>
        <v>Y</v>
      </c>
      <c r="D38" s="39" t="str">
        <f>_xlfn.XLOOKUP(__xlnm._FilterDatabase_1511[[#This Row],[SAPSA Number]],Table1[SAPSA number],Table1[Name])</f>
        <v>Paul Herman</v>
      </c>
      <c r="E38" s="39" t="str">
        <f>_xlfn.XLOOKUP(__xlnm._FilterDatabase_1511[[#This Row],[SAPSA Number]],Table1[SAPSA number],Table1[Surname])</f>
        <v>Leuschner</v>
      </c>
      <c r="F38" s="20" t="str">
        <f>_xlfn.XLOOKUP(__xlnm._FilterDatabase_1511[[#This Row],[SAPSA Number]],Table1[SAPSA number],Table1[Initials])</f>
        <v>PH</v>
      </c>
      <c r="G38" s="17" t="str">
        <f ca="1">_xlfn.XLOOKUP(__xlnm._FilterDatabase_1511[[#This Row],[SAPSA Number]],Table1[SAPSA number],Table1[Gender])</f>
        <v>S</v>
      </c>
      <c r="H38" s="19" t="e">
        <f>_xlfn.XLOOKUP(__xlnm._FilterDatabase_1511[[#This Row],[SAPSA Number]],#REF!,#REF!)</f>
        <v>#REF!</v>
      </c>
      <c r="I38" s="19" t="s">
        <v>238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7</v>
      </c>
      <c r="B39" s="25">
        <v>683</v>
      </c>
      <c r="C39" s="25">
        <f>_xlfn.XLOOKUP(__xlnm._FilterDatabase_1511[[#This Row],[SAPSA Number]],Table1[SAPSA number],Table1[Paid up])</f>
        <v>0</v>
      </c>
      <c r="D39" s="39" t="str">
        <f>_xlfn.XLOOKUP(__xlnm._FilterDatabase_1511[[#This Row],[SAPSA Number]],Table1[SAPSA number],Table1[Name])</f>
        <v>Ivor</v>
      </c>
      <c r="E39" s="39" t="str">
        <f>_xlfn.XLOOKUP(__xlnm._FilterDatabase_1511[[#This Row],[SAPSA Number]],Table1[SAPSA number],Table1[Surname])</f>
        <v>Marais</v>
      </c>
      <c r="F39" s="20" t="str">
        <f>_xlfn.XLOOKUP(__xlnm._FilterDatabase_1511[[#This Row],[SAPSA Number]],Table1[SAPSA number],Table1[Initials])</f>
        <v>I</v>
      </c>
      <c r="G39" s="17" t="str">
        <f ca="1">_xlfn.XLOOKUP(__xlnm._FilterDatabase_1511[[#This Row],[SAPSA Number]],Table1[SAPSA number],Table1[Gender])</f>
        <v>S</v>
      </c>
      <c r="H39" s="19" t="e">
        <f>_xlfn.XLOOKUP(__xlnm._FilterDatabase_1511[[#This Row],[SAPSA Number]],#REF!,#REF!)</f>
        <v>#REF!</v>
      </c>
      <c r="I39" s="19" t="s">
        <v>238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7</v>
      </c>
      <c r="B40" s="39">
        <v>4862</v>
      </c>
      <c r="C40" s="25" t="str">
        <f>_xlfn.XLOOKUP(__xlnm._FilterDatabase_1511[[#This Row],[SAPSA Number]],Table1[SAPSA number],Table1[Paid up])</f>
        <v>Y</v>
      </c>
      <c r="D40" s="39" t="str">
        <f>_xlfn.XLOOKUP(__xlnm._FilterDatabase_1511[[#This Row],[SAPSA Number]],Table1[SAPSA number],Table1[Name])</f>
        <v>George Keith</v>
      </c>
      <c r="E40" s="39" t="str">
        <f>_xlfn.XLOOKUP(__xlnm._FilterDatabase_1511[[#This Row],[SAPSA Number]],Table1[SAPSA number],Table1[Surname])</f>
        <v>Marais</v>
      </c>
      <c r="F40" s="20" t="str">
        <f>_xlfn.XLOOKUP(__xlnm._FilterDatabase_1511[[#This Row],[SAPSA Number]],Table1[SAPSA number],Table1[Initials])</f>
        <v>GK</v>
      </c>
      <c r="G40" s="17" t="str">
        <f ca="1">_xlfn.XLOOKUP(__xlnm._FilterDatabase_1511[[#This Row],[SAPSA Number]],Table1[SAPSA number],Table1[Gender])</f>
        <v>S</v>
      </c>
      <c r="H40" s="19" t="e">
        <f>_xlfn.XLOOKUP(__xlnm._FilterDatabase_1511[[#This Row],[SAPSA Number]],#REF!,#REF!)</f>
        <v>#REF!</v>
      </c>
      <c r="I40" s="19" t="s">
        <v>238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si="3"/>
        <v>7</v>
      </c>
      <c r="B41" s="27">
        <v>6966</v>
      </c>
      <c r="C41" s="25" t="str">
        <f>_xlfn.XLOOKUP(__xlnm._FilterDatabase_1511[[#This Row],[SAPSA Number]],Table1[SAPSA number],Table1[Paid up])</f>
        <v>Y</v>
      </c>
      <c r="D41" s="39" t="str">
        <f>_xlfn.XLOOKUP(__xlnm._FilterDatabase_1511[[#This Row],[SAPSA Number]],Table1[SAPSA number],Table1[Name])</f>
        <v>James</v>
      </c>
      <c r="E41" s="39" t="str">
        <f>_xlfn.XLOOKUP(__xlnm._FilterDatabase_1511[[#This Row],[SAPSA Number]],Table1[SAPSA number],Table1[Surname])</f>
        <v>Masonganye</v>
      </c>
      <c r="F41" s="20" t="str">
        <f>_xlfn.XLOOKUP(__xlnm._FilterDatabase_1511[[#This Row],[SAPSA Number]],Table1[SAPSA number],Table1[Initials])</f>
        <v>J</v>
      </c>
      <c r="G41" s="17" t="str">
        <f ca="1">_xlfn.XLOOKUP(__xlnm._FilterDatabase_1511[[#This Row],[SAPSA Number]],Table1[SAPSA number],Table1[Gender])</f>
        <v>S</v>
      </c>
      <c r="H41" s="39" t="e">
        <f ca="1">_xlfn.XLOOKUP(__xlnm._FilterDatabase_1511[[#This Row],[Tag]],#REF!,#REF!)</f>
        <v>#REF!</v>
      </c>
      <c r="I41" s="19" t="s">
        <v>238</v>
      </c>
      <c r="J41" s="21">
        <f t="shared" si="4"/>
        <v>0</v>
      </c>
      <c r="K41" s="22">
        <f t="shared" si="5"/>
        <v>0</v>
      </c>
      <c r="L41" s="79">
        <v>0</v>
      </c>
      <c r="M41" s="80">
        <v>0</v>
      </c>
      <c r="N41" s="79">
        <v>0</v>
      </c>
      <c r="O41" s="80">
        <v>0</v>
      </c>
      <c r="P41" s="79">
        <v>0</v>
      </c>
      <c r="Q41" s="80">
        <v>0</v>
      </c>
      <c r="R41" s="79">
        <v>0</v>
      </c>
      <c r="S41" s="80">
        <v>0</v>
      </c>
      <c r="T41" s="79">
        <v>0</v>
      </c>
      <c r="U41" s="80">
        <v>0</v>
      </c>
      <c r="V41" s="23">
        <v>0</v>
      </c>
      <c r="W41" s="24">
        <v>0</v>
      </c>
    </row>
    <row r="42" spans="1:23" ht="14.4" customHeight="1" x14ac:dyDescent="0.3">
      <c r="A42" s="17">
        <f t="shared" si="3"/>
        <v>7</v>
      </c>
      <c r="B42" s="25">
        <v>7132</v>
      </c>
      <c r="C42" s="25" t="str">
        <f>_xlfn.XLOOKUP(__xlnm._FilterDatabase_1511[[#This Row],[SAPSA Number]],Table1[SAPSA number],Table1[Paid up])</f>
        <v>Y</v>
      </c>
      <c r="D42" s="39" t="str">
        <f>_xlfn.XLOOKUP(__xlnm._FilterDatabase_1511[[#This Row],[SAPSA Number]],Table1[SAPSA number],Table1[Name])</f>
        <v>Yussuf</v>
      </c>
      <c r="E42" s="39" t="str">
        <f>_xlfn.XLOOKUP(__xlnm._FilterDatabase_1511[[#This Row],[SAPSA Number]],Table1[SAPSA number],Table1[Surname])</f>
        <v>Mayet</v>
      </c>
      <c r="F42" s="20" t="str">
        <f>_xlfn.XLOOKUP(__xlnm._FilterDatabase_1511[[#This Row],[SAPSA Number]],Table1[SAPSA number],Table1[Initials])</f>
        <v>Y</v>
      </c>
      <c r="G42" s="17" t="str">
        <f ca="1">_xlfn.XLOOKUP(__xlnm._FilterDatabase_1511[[#This Row],[SAPSA Number]],Table1[SAPSA number],Table1[Gender])</f>
        <v>GS</v>
      </c>
      <c r="H42" s="19" t="e">
        <f>_xlfn.XLOOKUP(__xlnm._FilterDatabase_1511[[#This Row],[SAPSA Number]],#REF!,#REF!)</f>
        <v>#REF!</v>
      </c>
      <c r="I42" s="19" t="s">
        <v>238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3"/>
        <v>7</v>
      </c>
      <c r="B43" s="25">
        <v>5200</v>
      </c>
      <c r="C43" s="25">
        <f>_xlfn.XLOOKUP(__xlnm._FilterDatabase_1511[[#This Row],[SAPSA Number]],Table1[SAPSA number],Table1[Paid up])</f>
        <v>0</v>
      </c>
      <c r="D43" s="39" t="str">
        <f>_xlfn.XLOOKUP(__xlnm._FilterDatabase_1511[[#This Row],[SAPSA Number]],Table1[SAPSA number],Table1[Name])</f>
        <v>Daniel</v>
      </c>
      <c r="E43" s="39" t="str">
        <f>_xlfn.XLOOKUP(__xlnm._FilterDatabase_1511[[#This Row],[SAPSA Number]],Table1[SAPSA number],Table1[Surname])</f>
        <v>McWilliam</v>
      </c>
      <c r="F43" s="20" t="str">
        <f>_xlfn.XLOOKUP(__xlnm._FilterDatabase_1511[[#This Row],[SAPSA Number]],Table1[SAPSA number],Table1[Initials])</f>
        <v>D</v>
      </c>
      <c r="G43" s="17" t="str">
        <f ca="1">_xlfn.XLOOKUP(__xlnm._FilterDatabase_1511[[#This Row],[SAPSA Number]],Table1[SAPSA number],Table1[Gender])</f>
        <v xml:space="preserve"> </v>
      </c>
      <c r="H43" s="19" t="e">
        <f>_xlfn.XLOOKUP(__xlnm._FilterDatabase_1511[[#This Row],[SAPSA Number]],#REF!,#REF!)</f>
        <v>#REF!</v>
      </c>
      <c r="I43" s="19" t="s">
        <v>238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3"/>
        <v>7</v>
      </c>
      <c r="B44" s="25">
        <v>1771</v>
      </c>
      <c r="C44" s="25" t="str">
        <f>_xlfn.XLOOKUP(__xlnm._FilterDatabase_1511[[#This Row],[SAPSA Number]],Table1[SAPSA number],Table1[Paid up])</f>
        <v>Y</v>
      </c>
      <c r="D44" s="39" t="str">
        <f>_xlfn.XLOOKUP(__xlnm._FilterDatabase_1511[[#This Row],[SAPSA Number]],Table1[SAPSA number],Table1[Name])</f>
        <v>Rodney Ralph</v>
      </c>
      <c r="E44" s="39" t="str">
        <f>_xlfn.XLOOKUP(__xlnm._FilterDatabase_1511[[#This Row],[SAPSA Number]],Table1[SAPSA number],Table1[Surname])</f>
        <v>Mills</v>
      </c>
      <c r="F44" s="20" t="str">
        <f>_xlfn.XLOOKUP(__xlnm._FilterDatabase_1511[[#This Row],[SAPSA Number]],Table1[SAPSA number],Table1[Initials])</f>
        <v>RR</v>
      </c>
      <c r="G44" s="17" t="str">
        <f ca="1">_xlfn.XLOOKUP(__xlnm._FilterDatabase_1511[[#This Row],[SAPSA Number]],Table1[SAPSA number],Table1[Gender])</f>
        <v>GS</v>
      </c>
      <c r="H44" s="19" t="e">
        <f>_xlfn.XLOOKUP(__xlnm._FilterDatabase_1511[[#This Row],[SAPSA Number]],#REF!,#REF!)</f>
        <v>#REF!</v>
      </c>
      <c r="I44" s="19" t="s">
        <v>238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25" customHeight="1" x14ac:dyDescent="0.3">
      <c r="A45" s="17">
        <f t="shared" ref="A45:A70" si="6">RANK(K45,K$2:K$137,0)</f>
        <v>7</v>
      </c>
      <c r="B45" s="25">
        <v>1637</v>
      </c>
      <c r="C45" s="25">
        <f>_xlfn.XLOOKUP(__xlnm._FilterDatabase_1511[[#This Row],[SAPSA Number]],Table1[SAPSA number],Table1[Paid up])</f>
        <v>0</v>
      </c>
      <c r="D45" s="39" t="str">
        <f>_xlfn.XLOOKUP(__xlnm._FilterDatabase_1511[[#This Row],[SAPSA Number]],Table1[SAPSA number],Table1[Name])</f>
        <v>Andre Johann Pieter</v>
      </c>
      <c r="E45" s="39" t="str">
        <f>_xlfn.XLOOKUP(__xlnm._FilterDatabase_1511[[#This Row],[SAPSA Number]],Table1[SAPSA number],Table1[Surname])</f>
        <v>Mouton</v>
      </c>
      <c r="F45" s="20" t="str">
        <f>_xlfn.XLOOKUP(__xlnm._FilterDatabase_1511[[#This Row],[SAPSA Number]],Table1[SAPSA number],Table1[Initials])</f>
        <v>AJP</v>
      </c>
      <c r="G45" s="17" t="str">
        <f ca="1">_xlfn.XLOOKUP(__xlnm._FilterDatabase_1511[[#This Row],[SAPSA Number]],Table1[SAPSA number],Table1[Gender])</f>
        <v>GS</v>
      </c>
      <c r="H45" s="19" t="e">
        <f>_xlfn.XLOOKUP(__xlnm._FilterDatabase_1511[[#This Row],[SAPSA Number]],#REF!,#REF!)</f>
        <v>#REF!</v>
      </c>
      <c r="I45" s="19" t="s">
        <v>238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6"/>
        <v>7</v>
      </c>
      <c r="B46" s="40">
        <v>1777</v>
      </c>
      <c r="C46" s="25" t="str">
        <f>_xlfn.XLOOKUP(__xlnm._FilterDatabase_1511[[#This Row],[SAPSA Number]],Table1[SAPSA number],Table1[Paid up])</f>
        <v>Y</v>
      </c>
      <c r="D46" s="39" t="str">
        <f>_xlfn.XLOOKUP(__xlnm._FilterDatabase_1511[[#This Row],[SAPSA Number]],Table1[SAPSA number],Table1[Name])</f>
        <v xml:space="preserve">Leon </v>
      </c>
      <c r="E46" s="39" t="str">
        <f>_xlfn.XLOOKUP(__xlnm._FilterDatabase_1511[[#This Row],[SAPSA Number]],Table1[SAPSA number],Table1[Surname])</f>
        <v>Myburgh</v>
      </c>
      <c r="F46" s="20" t="str">
        <f>_xlfn.XLOOKUP(__xlnm._FilterDatabase_1511[[#This Row],[SAPSA Number]],Table1[SAPSA number],Table1[Initials])</f>
        <v>LC</v>
      </c>
      <c r="G46" s="17" t="str">
        <f ca="1">_xlfn.XLOOKUP(__xlnm._FilterDatabase_1511[[#This Row],[SAPSA Number]],Table1[SAPSA number],Table1[Gender])</f>
        <v>S</v>
      </c>
      <c r="H46" s="19" t="e">
        <f>_xlfn.XLOOKUP(__xlnm._FilterDatabase_1511[[#This Row],[SAPSA Number]],#REF!,#REF!)</f>
        <v>#REF!</v>
      </c>
      <c r="I46" s="19" t="s">
        <v>238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6"/>
        <v>7</v>
      </c>
      <c r="B47" s="25">
        <v>250</v>
      </c>
      <c r="C47" s="25">
        <f>_xlfn.XLOOKUP(__xlnm._FilterDatabase_1511[[#This Row],[SAPSA Number]],Table1[SAPSA number],Table1[Paid up])</f>
        <v>0</v>
      </c>
      <c r="D47" s="39" t="str">
        <f>_xlfn.XLOOKUP(__xlnm._FilterDatabase_1511[[#This Row],[SAPSA Number]],Table1[SAPSA number],Table1[Name])</f>
        <v>Adriano Walter</v>
      </c>
      <c r="E47" s="39" t="str">
        <f>_xlfn.XLOOKUP(__xlnm._FilterDatabase_1511[[#This Row],[SAPSA Number]],Table1[SAPSA number],Table1[Surname])</f>
        <v>Paschini</v>
      </c>
      <c r="F47" s="20" t="str">
        <f>_xlfn.XLOOKUP(__xlnm._FilterDatabase_1511[[#This Row],[SAPSA Number]],Table1[SAPSA number],Table1[Initials])</f>
        <v>AW</v>
      </c>
      <c r="G47" s="17" t="str">
        <f ca="1">_xlfn.XLOOKUP(__xlnm._FilterDatabase_1511[[#This Row],[SAPSA Number]],Table1[SAPSA number],Table1[Gender])</f>
        <v>SS</v>
      </c>
      <c r="H47" s="19" t="e">
        <f>_xlfn.XLOOKUP(__xlnm._FilterDatabase_1511[[#This Row],[SAPSA Number]],#REF!,#REF!)</f>
        <v>#REF!</v>
      </c>
      <c r="I47" s="19" t="s">
        <v>238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 t="shared" si="6"/>
        <v>7</v>
      </c>
      <c r="B48" s="25">
        <v>6633</v>
      </c>
      <c r="C48" s="25">
        <f>_xlfn.XLOOKUP(__xlnm._FilterDatabase_1511[[#This Row],[SAPSA Number]],Table1[SAPSA number],Table1[Paid up])</f>
        <v>0</v>
      </c>
      <c r="D48" s="39" t="str">
        <f>_xlfn.XLOOKUP(__xlnm._FilterDatabase_1511[[#This Row],[SAPSA Number]],Table1[SAPSA number],Table1[Name])</f>
        <v>Allessandro Raffaele</v>
      </c>
      <c r="E48" s="39" t="str">
        <f>_xlfn.XLOOKUP(__xlnm._FilterDatabase_1511[[#This Row],[SAPSA Number]],Table1[SAPSA number],Table1[Surname])</f>
        <v>Paschini</v>
      </c>
      <c r="F48" s="20" t="str">
        <f>_xlfn.XLOOKUP(__xlnm._FilterDatabase_1511[[#This Row],[SAPSA Number]],Table1[SAPSA number],Table1[Initials])</f>
        <v>AR</v>
      </c>
      <c r="G48" s="17" t="str">
        <f ca="1">_xlfn.XLOOKUP(__xlnm._FilterDatabase_1511[[#This Row],[SAPSA Number]],Table1[SAPSA number],Table1[Gender])</f>
        <v xml:space="preserve"> </v>
      </c>
      <c r="H48" s="19" t="e">
        <f>_xlfn.XLOOKUP(__xlnm._FilterDatabase_1511[[#This Row],[SAPSA Number]],#REF!,#REF!)</f>
        <v>#REF!</v>
      </c>
      <c r="I48" s="19" t="s">
        <v>238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6"/>
        <v>7</v>
      </c>
      <c r="B49" s="25">
        <v>7478</v>
      </c>
      <c r="C49" s="25">
        <f>_xlfn.XLOOKUP(__xlnm._FilterDatabase_1511[[#This Row],[SAPSA Number]],Table1[SAPSA number],Table1[Paid up])</f>
        <v>0</v>
      </c>
      <c r="D49" s="39" t="str">
        <f>_xlfn.XLOOKUP(__xlnm._FilterDatabase_1511[[#This Row],[SAPSA Number]],Table1[SAPSA number],Table1[Name])</f>
        <v>Annemarie</v>
      </c>
      <c r="E49" s="39" t="str">
        <f>_xlfn.XLOOKUP(__xlnm._FilterDatabase_1511[[#This Row],[SAPSA Number]],Table1[SAPSA number],Table1[Surname])</f>
        <v>Pienaar</v>
      </c>
      <c r="F49" s="20" t="str">
        <f>_xlfn.XLOOKUP(__xlnm._FilterDatabase_1511[[#This Row],[SAPSA Number]],Table1[SAPSA number],Table1[Initials])</f>
        <v>A</v>
      </c>
      <c r="G49" s="17" t="str">
        <f>_xlfn.XLOOKUP(__xlnm._FilterDatabase_1511[[#This Row],[SAPSA Number]],Table1[SAPSA number],Table1[Gender])</f>
        <v>Lady</v>
      </c>
      <c r="H49" s="19" t="e">
        <f>_xlfn.XLOOKUP(__xlnm._FilterDatabase_1511[[#This Row],[SAPSA Number]],#REF!,#REF!)</f>
        <v>#REF!</v>
      </c>
      <c r="I49" s="19" t="s">
        <v>238</v>
      </c>
      <c r="J49" s="21">
        <f t="shared" si="4"/>
        <v>0</v>
      </c>
      <c r="K49" s="22">
        <f t="shared" si="5"/>
        <v>0</v>
      </c>
      <c r="L49" s="79">
        <v>0</v>
      </c>
      <c r="M49" s="80">
        <v>0</v>
      </c>
      <c r="N49" s="79">
        <v>0</v>
      </c>
      <c r="O49" s="80">
        <v>0</v>
      </c>
      <c r="P49" s="79">
        <v>0</v>
      </c>
      <c r="Q49" s="80">
        <v>0</v>
      </c>
      <c r="R49" s="79">
        <v>0</v>
      </c>
      <c r="S49" s="80">
        <v>0</v>
      </c>
      <c r="T49" s="79">
        <v>0</v>
      </c>
      <c r="U49" s="80">
        <v>0</v>
      </c>
      <c r="V49" s="23">
        <v>0</v>
      </c>
      <c r="W49" s="24">
        <v>0</v>
      </c>
    </row>
    <row r="50" spans="1:23" ht="14.4" customHeight="1" x14ac:dyDescent="0.3">
      <c r="A50" s="17">
        <f t="shared" si="6"/>
        <v>7</v>
      </c>
      <c r="B50" s="25">
        <v>2950</v>
      </c>
      <c r="C50" s="25">
        <f>_xlfn.XLOOKUP(__xlnm._FilterDatabase_1511[[#This Row],[SAPSA Number]],Table1[SAPSA number],Table1[Paid up])</f>
        <v>0</v>
      </c>
      <c r="D50" s="39" t="str">
        <f>_xlfn.XLOOKUP(__xlnm._FilterDatabase_1511[[#This Row],[SAPSA Number]],Table1[SAPSA number],Table1[Name])</f>
        <v>Renier Jansen</v>
      </c>
      <c r="E50" s="39" t="str">
        <f>_xlfn.XLOOKUP(__xlnm._FilterDatabase_1511[[#This Row],[SAPSA Number]],Table1[SAPSA number],Table1[Surname])</f>
        <v>Reynders</v>
      </c>
      <c r="F50" s="20" t="str">
        <f>_xlfn.XLOOKUP(__xlnm._FilterDatabase_1511[[#This Row],[SAPSA Number]],Table1[SAPSA number],Table1[Initials])</f>
        <v>RJ</v>
      </c>
      <c r="G50" s="17" t="str">
        <f ca="1">_xlfn.XLOOKUP(__xlnm._FilterDatabase_1511[[#This Row],[SAPSA Number]],Table1[SAPSA number],Table1[Gender])</f>
        <v xml:space="preserve"> </v>
      </c>
      <c r="H50" s="19" t="e">
        <f>_xlfn.XLOOKUP(__xlnm._FilterDatabase_1511[[#This Row],[SAPSA Number]],#REF!,#REF!)</f>
        <v>#REF!</v>
      </c>
      <c r="I50" s="19" t="s">
        <v>238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6"/>
        <v>7</v>
      </c>
      <c r="B51" s="25">
        <v>1929</v>
      </c>
      <c r="C51" s="25">
        <f>_xlfn.XLOOKUP(__xlnm._FilterDatabase_1511[[#This Row],[SAPSA Number]],Table1[SAPSA number],Table1[Paid up])</f>
        <v>0</v>
      </c>
      <c r="D51" s="39" t="str">
        <f>_xlfn.XLOOKUP(__xlnm._FilterDatabase_1511[[#This Row],[SAPSA Number]],Table1[SAPSA number],Table1[Name])</f>
        <v>Chris</v>
      </c>
      <c r="E51" s="39" t="str">
        <f>_xlfn.XLOOKUP(__xlnm._FilterDatabase_1511[[#This Row],[SAPSA Number]],Table1[SAPSA number],Table1[Surname])</f>
        <v>Ridout</v>
      </c>
      <c r="F51" s="20" t="str">
        <f>_xlfn.XLOOKUP(__xlnm._FilterDatabase_1511[[#This Row],[SAPSA Number]],Table1[SAPSA number],Table1[Initials])</f>
        <v>CJ</v>
      </c>
      <c r="G51" s="17" t="str">
        <f ca="1">_xlfn.XLOOKUP(__xlnm._FilterDatabase_1511[[#This Row],[SAPSA Number]],Table1[SAPSA number],Table1[Gender])</f>
        <v xml:space="preserve"> </v>
      </c>
      <c r="H51" s="19" t="e">
        <f>_xlfn.XLOOKUP(__xlnm._FilterDatabase_1511[[#This Row],[SAPSA Number]],#REF!,#REF!)</f>
        <v>#REF!</v>
      </c>
      <c r="I51" s="19" t="s">
        <v>238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6"/>
        <v>7</v>
      </c>
      <c r="B52" s="25">
        <v>3822</v>
      </c>
      <c r="C52" s="25" t="str">
        <f>_xlfn.XLOOKUP(__xlnm._FilterDatabase_1511[[#This Row],[SAPSA Number]],Table1[SAPSA number],Table1[Paid up])</f>
        <v>Y</v>
      </c>
      <c r="D52" s="39" t="str">
        <f>_xlfn.XLOOKUP(__xlnm._FilterDatabase_1511[[#This Row],[SAPSA Number]],Table1[SAPSA number],Table1[Name])</f>
        <v>Wayne Erald</v>
      </c>
      <c r="E52" s="39" t="str">
        <f>_xlfn.XLOOKUP(__xlnm._FilterDatabase_1511[[#This Row],[SAPSA Number]],Table1[SAPSA number],Table1[Surname])</f>
        <v>Schmidt</v>
      </c>
      <c r="F52" s="20" t="str">
        <f>_xlfn.XLOOKUP(__xlnm._FilterDatabase_1511[[#This Row],[SAPSA Number]],Table1[SAPSA number],Table1[Initials])</f>
        <v>WE</v>
      </c>
      <c r="G52" s="17" t="str">
        <f ca="1">_xlfn.XLOOKUP(__xlnm._FilterDatabase_1511[[#This Row],[SAPSA Number]],Table1[SAPSA number],Table1[Gender])</f>
        <v>S</v>
      </c>
      <c r="H52" s="19" t="e">
        <f>_xlfn.XLOOKUP(__xlnm._FilterDatabase_1511[[#This Row],[SAPSA Number]],#REF!,#REF!)</f>
        <v>#REF!</v>
      </c>
      <c r="I52" s="19" t="s">
        <v>238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6"/>
        <v>7</v>
      </c>
      <c r="B53" s="25">
        <v>4966</v>
      </c>
      <c r="C53" s="25" t="str">
        <f>_xlfn.XLOOKUP(__xlnm._FilterDatabase_1511[[#This Row],[SAPSA Number]],Table1[SAPSA number],Table1[Paid up])</f>
        <v>Y</v>
      </c>
      <c r="D53" s="39" t="str">
        <f>_xlfn.XLOOKUP(__xlnm._FilterDatabase_1511[[#This Row],[SAPSA Number]],Table1[SAPSA number],Table1[Name])</f>
        <v>Costantinos</v>
      </c>
      <c r="E53" s="39" t="str">
        <f>_xlfn.XLOOKUP(__xlnm._FilterDatabase_1511[[#This Row],[SAPSA Number]],Table1[SAPSA number],Table1[Surname])</f>
        <v>Seindis</v>
      </c>
      <c r="F53" s="20" t="str">
        <f>_xlfn.XLOOKUP(__xlnm._FilterDatabase_1511[[#This Row],[SAPSA Number]],Table1[SAPSA number],Table1[Initials])</f>
        <v>C</v>
      </c>
      <c r="G53" s="17" t="str">
        <f ca="1">_xlfn.XLOOKUP(__xlnm._FilterDatabase_1511[[#This Row],[SAPSA Number]],Table1[SAPSA number],Table1[Gender])</f>
        <v xml:space="preserve"> </v>
      </c>
      <c r="H53" s="19" t="e">
        <f>_xlfn.XLOOKUP(__xlnm._FilterDatabase_1511[[#This Row],[SAPSA Number]],#REF!,#REF!)</f>
        <v>#REF!</v>
      </c>
      <c r="I53" s="19" t="s">
        <v>238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6"/>
        <v>7</v>
      </c>
      <c r="B54" s="25">
        <v>1321</v>
      </c>
      <c r="C54" s="25">
        <f>_xlfn.XLOOKUP(__xlnm._FilterDatabase_1511[[#This Row],[SAPSA Number]],Table1[SAPSA number],Table1[Paid up])</f>
        <v>0</v>
      </c>
      <c r="D54" s="39" t="str">
        <f>_xlfn.XLOOKUP(__xlnm._FilterDatabase_1511[[#This Row],[SAPSA Number]],Table1[SAPSA number],Table1[Name])</f>
        <v>Neal Monisen</v>
      </c>
      <c r="E54" s="39" t="str">
        <f>_xlfn.XLOOKUP(__xlnm._FilterDatabase_1511[[#This Row],[SAPSA Number]],Table1[SAPSA number],Table1[Surname])</f>
        <v>Sokay</v>
      </c>
      <c r="F54" s="20" t="str">
        <f>_xlfn.XLOOKUP(__xlnm._FilterDatabase_1511[[#This Row],[SAPSA Number]],Table1[SAPSA number],Table1[Initials])</f>
        <v>NM</v>
      </c>
      <c r="G54" s="17" t="str">
        <f ca="1">_xlfn.XLOOKUP(__xlnm._FilterDatabase_1511[[#This Row],[SAPSA Number]],Table1[SAPSA number],Table1[Gender])</f>
        <v>S</v>
      </c>
      <c r="H54" s="19" t="e">
        <f>_xlfn.XLOOKUP(__xlnm._FilterDatabase_1511[[#This Row],[SAPSA Number]],#REF!,#REF!)</f>
        <v>#REF!</v>
      </c>
      <c r="I54" s="19" t="s">
        <v>238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6"/>
        <v>7</v>
      </c>
      <c r="B55" s="25">
        <v>3832</v>
      </c>
      <c r="C55" s="25" t="str">
        <f>_xlfn.XLOOKUP(__xlnm._FilterDatabase_1511[[#This Row],[SAPSA Number]],Table1[SAPSA number],Table1[Paid up])</f>
        <v>Y</v>
      </c>
      <c r="D55" s="39" t="str">
        <f>_xlfn.XLOOKUP(__xlnm._FilterDatabase_1511[[#This Row],[SAPSA Number]],Table1[SAPSA number],Table1[Name])</f>
        <v>Dion Rowlands</v>
      </c>
      <c r="E55" s="39" t="str">
        <f>_xlfn.XLOOKUP(__xlnm._FilterDatabase_1511[[#This Row],[SAPSA Number]],Table1[SAPSA number],Table1[Surname])</f>
        <v>Stead</v>
      </c>
      <c r="F55" s="20" t="str">
        <f>_xlfn.XLOOKUP(__xlnm._FilterDatabase_1511[[#This Row],[SAPSA Number]],Table1[SAPSA number],Table1[Initials])</f>
        <v>DR</v>
      </c>
      <c r="G55" s="17" t="str">
        <f ca="1">_xlfn.XLOOKUP(__xlnm._FilterDatabase_1511[[#This Row],[SAPSA Number]],Table1[SAPSA number],Table1[Gender])</f>
        <v>S</v>
      </c>
      <c r="H55" s="19" t="e">
        <f>_xlfn.XLOOKUP(__xlnm._FilterDatabase_1511[[#This Row],[SAPSA Number]],#REF!,#REF!)</f>
        <v>#REF!</v>
      </c>
      <c r="I55" s="19" t="s">
        <v>238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6"/>
        <v>7</v>
      </c>
      <c r="B56" s="25">
        <v>4858</v>
      </c>
      <c r="C56" s="25" t="str">
        <f>_xlfn.XLOOKUP(__xlnm._FilterDatabase_1511[[#This Row],[SAPSA Number]],Table1[SAPSA number],Table1[Paid up])</f>
        <v>Y</v>
      </c>
      <c r="D56" s="39" t="str">
        <f>_xlfn.XLOOKUP(__xlnm._FilterDatabase_1511[[#This Row],[SAPSA Number]],Table1[SAPSA number],Table1[Name])</f>
        <v>Jacques</v>
      </c>
      <c r="E56" s="39" t="str">
        <f>_xlfn.XLOOKUP(__xlnm._FilterDatabase_1511[[#This Row],[SAPSA Number]],Table1[SAPSA number],Table1[Surname])</f>
        <v>Swanepoel</v>
      </c>
      <c r="F56" s="20" t="str">
        <f>_xlfn.XLOOKUP(__xlnm._FilterDatabase_1511[[#This Row],[SAPSA Number]],Table1[SAPSA number],Table1[Initials])</f>
        <v>J</v>
      </c>
      <c r="G56" s="17" t="str">
        <f ca="1">_xlfn.XLOOKUP(__xlnm._FilterDatabase_1511[[#This Row],[SAPSA Number]],Table1[SAPSA number],Table1[Gender])</f>
        <v xml:space="preserve"> </v>
      </c>
      <c r="H56" s="19" t="e">
        <f>_xlfn.XLOOKUP(__xlnm._FilterDatabase_1511[[#This Row],[SAPSA Number]],#REF!,#REF!)</f>
        <v>#REF!</v>
      </c>
      <c r="I56" s="19" t="s">
        <v>238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6"/>
        <v>7</v>
      </c>
      <c r="B57" s="25">
        <v>1113</v>
      </c>
      <c r="C57" s="25" t="str">
        <f>_xlfn.XLOOKUP(__xlnm._FilterDatabase_1511[[#This Row],[SAPSA Number]],Table1[SAPSA number],Table1[Paid up])</f>
        <v>Y</v>
      </c>
      <c r="D57" s="39" t="str">
        <f>_xlfn.XLOOKUP(__xlnm._FilterDatabase_1511[[#This Row],[SAPSA Number]],Table1[SAPSA number],Table1[Name])</f>
        <v>Frik</v>
      </c>
      <c r="E57" s="39" t="str">
        <f>_xlfn.XLOOKUP(__xlnm._FilterDatabase_1511[[#This Row],[SAPSA Number]],Table1[SAPSA number],Table1[Surname])</f>
        <v>Truter</v>
      </c>
      <c r="F57" s="20" t="str">
        <f>_xlfn.XLOOKUP(__xlnm._FilterDatabase_1511[[#This Row],[SAPSA Number]],Table1[SAPSA number],Table1[Initials])</f>
        <v>FC</v>
      </c>
      <c r="G57" s="17" t="str">
        <f ca="1">_xlfn.XLOOKUP(__xlnm._FilterDatabase_1511[[#This Row],[SAPSA Number]],Table1[SAPSA number],Table1[Gender])</f>
        <v>SS</v>
      </c>
      <c r="H57" s="19" t="e">
        <f>_xlfn.XLOOKUP(__xlnm._FilterDatabase_1511[[#This Row],[SAPSA Number]],#REF!,#REF!)</f>
        <v>#REF!</v>
      </c>
      <c r="I57" s="19" t="s">
        <v>238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6"/>
        <v>7</v>
      </c>
      <c r="B58" s="25">
        <v>1931</v>
      </c>
      <c r="C58" s="25">
        <f>_xlfn.XLOOKUP(__xlnm._FilterDatabase_1511[[#This Row],[SAPSA Number]],Table1[SAPSA number],Table1[Paid up])</f>
        <v>0</v>
      </c>
      <c r="D58" s="39" t="str">
        <f>_xlfn.XLOOKUP(__xlnm._FilterDatabase_1511[[#This Row],[SAPSA Number]],Table1[SAPSA number],Table1[Name])</f>
        <v>Sylvia</v>
      </c>
      <c r="E58" s="39" t="str">
        <f>_xlfn.XLOOKUP(__xlnm._FilterDatabase_1511[[#This Row],[SAPSA Number]],Table1[SAPSA number],Table1[Surname])</f>
        <v>Van der Neut</v>
      </c>
      <c r="F58" s="20" t="str">
        <f>_xlfn.XLOOKUP(__xlnm._FilterDatabase_1511[[#This Row],[SAPSA Number]],Table1[SAPSA number],Table1[Initials])</f>
        <v>S</v>
      </c>
      <c r="G58" s="17" t="str">
        <f>_xlfn.XLOOKUP(__xlnm._FilterDatabase_1511[[#This Row],[SAPSA Number]],Table1[SAPSA number],Table1[Gender])</f>
        <v>Lady</v>
      </c>
      <c r="H58" s="19" t="e">
        <f>_xlfn.XLOOKUP(__xlnm._FilterDatabase_1511[[#This Row],[SAPSA Number]],#REF!,#REF!)</f>
        <v>#REF!</v>
      </c>
      <c r="I58" s="19" t="s">
        <v>238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6"/>
        <v>7</v>
      </c>
      <c r="B59" s="25">
        <v>5616</v>
      </c>
      <c r="C59" s="25">
        <f>_xlfn.XLOOKUP(__xlnm._FilterDatabase_1511[[#This Row],[SAPSA Number]],Table1[SAPSA number],Table1[Paid up])</f>
        <v>0</v>
      </c>
      <c r="D59" s="39" t="str">
        <f>_xlfn.XLOOKUP(__xlnm._FilterDatabase_1511[[#This Row],[SAPSA Number]],Table1[SAPSA number],Table1[Name])</f>
        <v>Cornelis Herman</v>
      </c>
      <c r="E59" s="39" t="str">
        <f>_xlfn.XLOOKUP(__xlnm._FilterDatabase_1511[[#This Row],[SAPSA Number]],Table1[SAPSA number],Table1[Surname])</f>
        <v>van Driel</v>
      </c>
      <c r="F59" s="20" t="str">
        <f>_xlfn.XLOOKUP(__xlnm._FilterDatabase_1511[[#This Row],[SAPSA Number]],Table1[SAPSA number],Table1[Initials])</f>
        <v>CH</v>
      </c>
      <c r="G59" s="17" t="str">
        <f ca="1">_xlfn.XLOOKUP(__xlnm._FilterDatabase_1511[[#This Row],[SAPSA Number]],Table1[SAPSA number],Table1[Gender])</f>
        <v xml:space="preserve"> </v>
      </c>
      <c r="H59" s="19" t="e">
        <f>_xlfn.XLOOKUP(__xlnm._FilterDatabase_1511[[#This Row],[SAPSA Number]],#REF!,#REF!)</f>
        <v>#REF!</v>
      </c>
      <c r="I59" s="19" t="s">
        <v>238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6"/>
        <v>7</v>
      </c>
      <c r="B60" s="39">
        <v>6564</v>
      </c>
      <c r="C60" s="25" t="str">
        <f>_xlfn.XLOOKUP(__xlnm._FilterDatabase_1511[[#This Row],[SAPSA Number]],Table1[SAPSA number],Table1[Paid up])</f>
        <v>Y</v>
      </c>
      <c r="D60" s="39" t="str">
        <f>_xlfn.XLOOKUP(__xlnm._FilterDatabase_1511[[#This Row],[SAPSA Number]],Table1[SAPSA number],Table1[Name])</f>
        <v>Kwimton Schalk</v>
      </c>
      <c r="E60" s="39" t="str">
        <f>_xlfn.XLOOKUP(__xlnm._FilterDatabase_1511[[#This Row],[SAPSA Number]],Table1[SAPSA number],Table1[Surname])</f>
        <v>van Jaarsveld</v>
      </c>
      <c r="F60" s="20" t="str">
        <f>_xlfn.XLOOKUP(__xlnm._FilterDatabase_1511[[#This Row],[SAPSA Number]],Table1[SAPSA number],Table1[Initials])</f>
        <v>KS</v>
      </c>
      <c r="G60" s="17" t="str">
        <f ca="1">_xlfn.XLOOKUP(__xlnm._FilterDatabase_1511[[#This Row],[SAPSA Number]],Table1[SAPSA number],Table1[Gender])</f>
        <v xml:space="preserve"> </v>
      </c>
      <c r="H60" s="19" t="e">
        <f>_xlfn.XLOOKUP(__xlnm._FilterDatabase_1511[[#This Row],[SAPSA Number]],#REF!,#REF!)</f>
        <v>#REF!</v>
      </c>
      <c r="I60" s="19" t="s">
        <v>238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6"/>
        <v>7</v>
      </c>
      <c r="B61" s="26">
        <v>5262</v>
      </c>
      <c r="C61" s="25" t="str">
        <f>_xlfn.XLOOKUP(__xlnm._FilterDatabase_1511[[#This Row],[SAPSA Number]],Table1[SAPSA number],Table1[Paid up])</f>
        <v>Y</v>
      </c>
      <c r="D61" s="39" t="str">
        <f>_xlfn.XLOOKUP(__xlnm._FilterDatabase_1511[[#This Row],[SAPSA Number]],Table1[SAPSA number],Table1[Name])</f>
        <v>Andre</v>
      </c>
      <c r="E61" s="39" t="str">
        <f>_xlfn.XLOOKUP(__xlnm._FilterDatabase_1511[[#This Row],[SAPSA Number]],Table1[SAPSA number],Table1[Surname])</f>
        <v>van Rooyen</v>
      </c>
      <c r="F61" s="20" t="str">
        <f>_xlfn.XLOOKUP(__xlnm._FilterDatabase_1511[[#This Row],[SAPSA Number]],Table1[SAPSA number],Table1[Initials])</f>
        <v>A</v>
      </c>
      <c r="G61" s="17" t="str">
        <f ca="1">_xlfn.XLOOKUP(__xlnm._FilterDatabase_1511[[#This Row],[SAPSA Number]],Table1[SAPSA number],Table1[Gender])</f>
        <v xml:space="preserve"> </v>
      </c>
      <c r="H61" s="19" t="e">
        <f>_xlfn.XLOOKUP(__xlnm._FilterDatabase_1511[[#This Row],[SAPSA Number]],#REF!,#REF!)</f>
        <v>#REF!</v>
      </c>
      <c r="I61" s="19" t="s">
        <v>238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6"/>
        <v>7</v>
      </c>
      <c r="B62" s="26">
        <v>5971</v>
      </c>
      <c r="C62" s="25">
        <f>_xlfn.XLOOKUP(__xlnm._FilterDatabase_1511[[#This Row],[SAPSA Number]],Table1[SAPSA number],Table1[Paid up])</f>
        <v>0</v>
      </c>
      <c r="D62" s="39" t="str">
        <f>_xlfn.XLOOKUP(__xlnm._FilterDatabase_1511[[#This Row],[SAPSA Number]],Table1[SAPSA number],Table1[Name])</f>
        <v>Hendrik</v>
      </c>
      <c r="E62" s="39" t="str">
        <f>_xlfn.XLOOKUP(__xlnm._FilterDatabase_1511[[#This Row],[SAPSA Number]],Table1[SAPSA number],Table1[Surname])</f>
        <v>van Rooyen</v>
      </c>
      <c r="F62" s="20" t="str">
        <f>_xlfn.XLOOKUP(__xlnm._FilterDatabase_1511[[#This Row],[SAPSA Number]],Table1[SAPSA number],Table1[Initials])</f>
        <v>H</v>
      </c>
      <c r="G62" s="17" t="str">
        <f ca="1">_xlfn.XLOOKUP(__xlnm._FilterDatabase_1511[[#This Row],[SAPSA Number]],Table1[SAPSA number],Table1[Gender])</f>
        <v>S</v>
      </c>
      <c r="H62" s="19" t="e">
        <f>_xlfn.XLOOKUP(__xlnm._FilterDatabase_1511[[#This Row],[SAPSA Number]],#REF!,#REF!)</f>
        <v>#REF!</v>
      </c>
      <c r="I62" s="19" t="s">
        <v>238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6"/>
        <v>7</v>
      </c>
      <c r="B63" s="26">
        <v>2051</v>
      </c>
      <c r="C63" s="25" t="str">
        <f>_xlfn.XLOOKUP(__xlnm._FilterDatabase_1511[[#This Row],[SAPSA Number]],Table1[SAPSA number],Table1[Paid up])</f>
        <v>Y</v>
      </c>
      <c r="D63" s="39" t="str">
        <f>_xlfn.XLOOKUP(__xlnm._FilterDatabase_1511[[#This Row],[SAPSA Number]],Table1[SAPSA number],Table1[Name])</f>
        <v>Simon Adriaan</v>
      </c>
      <c r="E63" s="39" t="str">
        <f>_xlfn.XLOOKUP(__xlnm._FilterDatabase_1511[[#This Row],[SAPSA Number]],Table1[SAPSA number],Table1[Surname])</f>
        <v>Vermooten</v>
      </c>
      <c r="F63" s="20" t="str">
        <f>_xlfn.XLOOKUP(__xlnm._FilterDatabase_1511[[#This Row],[SAPSA Number]],Table1[SAPSA number],Table1[Initials])</f>
        <v>SA</v>
      </c>
      <c r="G63" s="17" t="str">
        <f ca="1">_xlfn.XLOOKUP(__xlnm._FilterDatabase_1511[[#This Row],[SAPSA Number]],Table1[SAPSA number],Table1[Gender])</f>
        <v>GS</v>
      </c>
      <c r="H63" s="19" t="e">
        <f>_xlfn.XLOOKUP(__xlnm._FilterDatabase_1511[[#This Row],[SAPSA Number]],#REF!,#REF!)</f>
        <v>#REF!</v>
      </c>
      <c r="I63" s="19" t="s">
        <v>238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 t="shared" si="6"/>
        <v>7</v>
      </c>
      <c r="B64" s="26">
        <v>2089</v>
      </c>
      <c r="C64" s="25" t="str">
        <f>_xlfn.XLOOKUP(__xlnm._FilterDatabase_1511[[#This Row],[SAPSA Number]],Table1[SAPSA number],Table1[Paid up])</f>
        <v>Y</v>
      </c>
      <c r="D64" s="39" t="str">
        <f>_xlfn.XLOOKUP(__xlnm._FilterDatabase_1511[[#This Row],[SAPSA Number]],Table1[SAPSA number],Table1[Name])</f>
        <v>Doané</v>
      </c>
      <c r="E64" s="39" t="str">
        <f>_xlfn.XLOOKUP(__xlnm._FilterDatabase_1511[[#This Row],[SAPSA Number]],Table1[SAPSA number],Table1[Surname])</f>
        <v>Vermooten</v>
      </c>
      <c r="F64" s="20" t="str">
        <f>_xlfn.XLOOKUP(__xlnm._FilterDatabase_1511[[#This Row],[SAPSA Number]],Table1[SAPSA number],Table1[Initials])</f>
        <v>D</v>
      </c>
      <c r="G64" s="17" t="str">
        <f ca="1">_xlfn.XLOOKUP(__xlnm._FilterDatabase_1511[[#This Row],[SAPSA Number]],Table1[SAPSA number],Table1[Gender])</f>
        <v xml:space="preserve"> </v>
      </c>
      <c r="H64" s="19" t="e">
        <f>_xlfn.XLOOKUP(__xlnm._FilterDatabase_1511[[#This Row],[SAPSA Number]],#REF!,#REF!)</f>
        <v>#REF!</v>
      </c>
      <c r="I64" s="19" t="s">
        <v>238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 t="shared" si="6"/>
        <v>7</v>
      </c>
      <c r="B65" s="39">
        <v>896</v>
      </c>
      <c r="C65" s="25" t="str">
        <f>_xlfn.XLOOKUP(__xlnm._FilterDatabase_1511[[#This Row],[SAPSA Number]],Table1[SAPSA number],Table1[Paid up])</f>
        <v>Y</v>
      </c>
      <c r="D65" s="39" t="str">
        <f>_xlfn.XLOOKUP(__xlnm._FilterDatabase_1511[[#This Row],[SAPSA Number]],Table1[SAPSA number],Table1[Name])</f>
        <v>Johannes Francois</v>
      </c>
      <c r="E65" s="39" t="str">
        <f>_xlfn.XLOOKUP(__xlnm._FilterDatabase_1511[[#This Row],[SAPSA Number]],Table1[SAPSA number],Table1[Surname])</f>
        <v>Wheeler</v>
      </c>
      <c r="F65" s="20" t="str">
        <f>_xlfn.XLOOKUP(__xlnm._FilterDatabase_1511[[#This Row],[SAPSA Number]],Table1[SAPSA number],Table1[Initials])</f>
        <v>JF</v>
      </c>
      <c r="G65" s="17" t="str">
        <f ca="1">_xlfn.XLOOKUP(__xlnm._FilterDatabase_1511[[#This Row],[SAPSA Number]],Table1[SAPSA number],Table1[Gender])</f>
        <v xml:space="preserve"> </v>
      </c>
      <c r="H65" s="19" t="e">
        <f>_xlfn.XLOOKUP(__xlnm._FilterDatabase_1511[[#This Row],[SAPSA Number]],#REF!,#REF!)</f>
        <v>#REF!</v>
      </c>
      <c r="I65" s="19" t="s">
        <v>238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3">
      <c r="A66" s="17">
        <f t="shared" si="6"/>
        <v>7</v>
      </c>
      <c r="B66" s="26">
        <v>206</v>
      </c>
      <c r="C66" s="25">
        <f>_xlfn.XLOOKUP(__xlnm._FilterDatabase_1511[[#This Row],[SAPSA Number]],Table1[SAPSA number],Table1[Paid up])</f>
        <v>0</v>
      </c>
      <c r="D66" s="39" t="str">
        <f>_xlfn.XLOOKUP(__xlnm._FilterDatabase_1511[[#This Row],[SAPSA Number]],Table1[SAPSA number],Table1[Name])</f>
        <v>Pierre Dewald</v>
      </c>
      <c r="E66" s="39" t="str">
        <f>_xlfn.XLOOKUP(__xlnm._FilterDatabase_1511[[#This Row],[SAPSA Number]],Table1[SAPSA number],Table1[Surname])</f>
        <v>Wrogemann</v>
      </c>
      <c r="F66" s="20" t="str">
        <f>_xlfn.XLOOKUP(__xlnm._FilterDatabase_1511[[#This Row],[SAPSA Number]],Table1[SAPSA number],Table1[Initials])</f>
        <v>PD</v>
      </c>
      <c r="G66" s="17" t="str">
        <f ca="1">_xlfn.XLOOKUP(__xlnm._FilterDatabase_1511[[#This Row],[SAPSA Number]],Table1[SAPSA number],Table1[Gender])</f>
        <v>S</v>
      </c>
      <c r="H66" s="19" t="e">
        <f>_xlfn.XLOOKUP(__xlnm._FilterDatabase_1511[[#This Row],[SAPSA Number]],#REF!,#REF!)</f>
        <v>#REF!</v>
      </c>
      <c r="I66" s="19" t="s">
        <v>238</v>
      </c>
      <c r="J66" s="21">
        <f t="shared" si="4"/>
        <v>0</v>
      </c>
      <c r="K66" s="22">
        <f t="shared" ref="K66:K70" si="7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>
        <f t="shared" si="6"/>
        <v>7</v>
      </c>
      <c r="B67" s="26">
        <v>3810</v>
      </c>
      <c r="C67" s="25">
        <f>_xlfn.XLOOKUP(__xlnm._FilterDatabase_1511[[#This Row],[SAPSA Number]],Table1[SAPSA number],Table1[Paid up])</f>
        <v>0</v>
      </c>
      <c r="D67" s="39" t="str">
        <f>_xlfn.XLOOKUP(__xlnm._FilterDatabase_1511[[#This Row],[SAPSA Number]],Table1[SAPSA number],Table1[Name])</f>
        <v>Roelof</v>
      </c>
      <c r="E67" s="39" t="str">
        <f>_xlfn.XLOOKUP(__xlnm._FilterDatabase_1511[[#This Row],[SAPSA Number]],Table1[SAPSA number],Table1[Surname])</f>
        <v>Liebenberg</v>
      </c>
      <c r="F67" s="20" t="str">
        <f>_xlfn.XLOOKUP(__xlnm._FilterDatabase_1511[[#This Row],[SAPSA Number]],Table1[SAPSA number],Table1[Initials])</f>
        <v>R</v>
      </c>
      <c r="G67" s="17" t="str">
        <f ca="1">_xlfn.XLOOKUP(__xlnm._FilterDatabase_1511[[#This Row],[SAPSA Number]],Table1[SAPSA number],Table1[Gender])</f>
        <v>S</v>
      </c>
      <c r="H67" s="19" t="e">
        <f>_xlfn.XLOOKUP(__xlnm._FilterDatabase_1511[[#This Row],[SAPSA Number]],#REF!,#REF!)</f>
        <v>#REF!</v>
      </c>
      <c r="I67" s="19" t="s">
        <v>238</v>
      </c>
      <c r="J67" s="21">
        <f t="shared" si="4"/>
        <v>0</v>
      </c>
      <c r="K67" s="22">
        <f t="shared" si="7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>
        <f t="shared" si="6"/>
        <v>7</v>
      </c>
      <c r="B68" s="26">
        <v>401</v>
      </c>
      <c r="C68" s="25"/>
      <c r="D68" s="39" t="str">
        <f>_xlfn.XLOOKUP(__xlnm._FilterDatabase_1511[[#This Row],[SAPSA Number]],Table1[SAPSA number],Table1[Name])</f>
        <v>Sebella</v>
      </c>
      <c r="E68" s="39" t="str">
        <f>_xlfn.XLOOKUP(__xlnm._FilterDatabase_1511[[#This Row],[SAPSA Number]],Table1[SAPSA number],Table1[Surname])</f>
        <v>O'Donovan</v>
      </c>
      <c r="F68" s="20" t="str">
        <f>_xlfn.XLOOKUP(__xlnm._FilterDatabase_1511[[#This Row],[SAPSA Number]],Table1[SAPSA number],Table1[Initials])</f>
        <v>S</v>
      </c>
      <c r="G68" s="17" t="str">
        <f>_xlfn.XLOOKUP(__xlnm._FilterDatabase_1511[[#This Row],[SAPSA Number]],Table1[SAPSA number],Table1[Gender])</f>
        <v>Lady</v>
      </c>
      <c r="H68" s="19" t="e">
        <f>_xlfn.XLOOKUP(__xlnm._FilterDatabase_1511[[#This Row],[SAPSA Number]],#REF!,#REF!)</f>
        <v>#REF!</v>
      </c>
      <c r="I68" s="19" t="s">
        <v>238</v>
      </c>
      <c r="J68" s="21">
        <f t="shared" si="4"/>
        <v>0</v>
      </c>
      <c r="K68" s="22">
        <f t="shared" si="7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>
        <f t="shared" si="6"/>
        <v>7</v>
      </c>
      <c r="B69" s="26">
        <v>1547</v>
      </c>
      <c r="C69" s="25"/>
      <c r="D69" s="39" t="str">
        <f>_xlfn.XLOOKUP(__xlnm._FilterDatabase_1511[[#This Row],[SAPSA Number]],Table1[SAPSA number],Table1[Name])</f>
        <v>Marius Frans</v>
      </c>
      <c r="E69" s="39" t="str">
        <f>_xlfn.XLOOKUP(__xlnm._FilterDatabase_1511[[#This Row],[SAPSA Number]],Table1[SAPSA number],Table1[Surname])</f>
        <v>van Biljon</v>
      </c>
      <c r="F69" s="20" t="str">
        <f>_xlfn.XLOOKUP(__xlnm._FilterDatabase_1511[[#This Row],[SAPSA Number]],Table1[SAPSA number],Table1[Initials])</f>
        <v>MF</v>
      </c>
      <c r="G69" s="17" t="str">
        <f ca="1">_xlfn.XLOOKUP(__xlnm._FilterDatabase_1511[[#This Row],[SAPSA Number]],Table1[SAPSA number],Table1[Gender])</f>
        <v>S</v>
      </c>
      <c r="H69" s="19" t="e">
        <f>_xlfn.XLOOKUP(__xlnm._FilterDatabase_1511[[#This Row],[SAPSA Number]],#REF!,#REF!)</f>
        <v>#REF!</v>
      </c>
      <c r="I69" s="19" t="s">
        <v>238</v>
      </c>
      <c r="J69" s="21">
        <f t="shared" si="4"/>
        <v>0</v>
      </c>
      <c r="K69" s="22">
        <f t="shared" si="7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si="6"/>
        <v>7</v>
      </c>
      <c r="B70" s="26">
        <v>3837</v>
      </c>
      <c r="C70" s="25"/>
      <c r="D70" s="39" t="str">
        <f>_xlfn.XLOOKUP(__xlnm._FilterDatabase_1511[[#This Row],[SAPSA Number]],Table1[SAPSA number],Table1[Name])</f>
        <v>Daneel</v>
      </c>
      <c r="E70" s="39" t="str">
        <f>_xlfn.XLOOKUP(__xlnm._FilterDatabase_1511[[#This Row],[SAPSA Number]],Table1[SAPSA number],Table1[Surname])</f>
        <v>van eck</v>
      </c>
      <c r="F70" s="20" t="str">
        <f>_xlfn.XLOOKUP(__xlnm._FilterDatabase_1511[[#This Row],[SAPSA Number]],Table1[SAPSA number],Table1[Initials])</f>
        <v>DJ</v>
      </c>
      <c r="G70" s="17" t="str">
        <f ca="1">_xlfn.XLOOKUP(__xlnm._FilterDatabase_1511[[#This Row],[SAPSA Number]],Table1[SAPSA number],Table1[Gender])</f>
        <v xml:space="preserve"> </v>
      </c>
      <c r="H70" s="19" t="e">
        <f>_xlfn.XLOOKUP(__xlnm._FilterDatabase_1511[[#This Row],[SAPSA Number]],#REF!,#REF!)</f>
        <v>#REF!</v>
      </c>
      <c r="I70" s="19" t="s">
        <v>238</v>
      </c>
      <c r="J70" s="21">
        <f t="shared" si="4"/>
        <v>0</v>
      </c>
      <c r="K70" s="22">
        <f t="shared" si="7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39"/>
      <c r="E71" s="39"/>
      <c r="F71" s="20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x14ac:dyDescent="0.3">
      <c r="A72" s="17"/>
      <c r="B72" s="25"/>
      <c r="C72" s="25"/>
      <c r="D72" s="39"/>
      <c r="E72" s="39"/>
      <c r="F72" s="20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17"/>
      <c r="B73" s="25"/>
      <c r="C73" s="25"/>
      <c r="D73" s="39"/>
      <c r="E73" s="39"/>
      <c r="F73" s="20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17"/>
      <c r="B74" s="76"/>
      <c r="C74" s="25"/>
      <c r="D74" s="39"/>
      <c r="E74" s="39"/>
      <c r="F74" s="20"/>
      <c r="G74" s="17"/>
      <c r="H74" s="19"/>
      <c r="I74" s="19"/>
      <c r="J74" s="21"/>
      <c r="K74" s="22"/>
      <c r="L74" s="79"/>
      <c r="M74" s="80"/>
      <c r="N74" s="79"/>
      <c r="O74" s="80"/>
      <c r="P74" s="79"/>
      <c r="Q74" s="80"/>
      <c r="R74" s="79"/>
      <c r="S74" s="80"/>
      <c r="T74" s="79"/>
      <c r="U74" s="80"/>
      <c r="V74" s="23"/>
      <c r="W74" s="24"/>
    </row>
    <row r="75" spans="1:23" x14ac:dyDescent="0.3">
      <c r="A75" s="17"/>
      <c r="B75" s="148"/>
      <c r="C75" s="25"/>
      <c r="D75" s="39"/>
      <c r="E75" s="39"/>
      <c r="F75" s="20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17"/>
      <c r="B76" s="26"/>
      <c r="C76" s="25"/>
      <c r="D76" s="39"/>
      <c r="E76" s="39"/>
      <c r="F76" s="20"/>
      <c r="G76" s="17"/>
      <c r="H76" s="19"/>
      <c r="I76" s="19"/>
      <c r="J76" s="21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x14ac:dyDescent="0.3">
      <c r="A77" s="31"/>
      <c r="B77" s="32"/>
      <c r="C77" s="25"/>
      <c r="D77" s="39"/>
      <c r="E77" s="39"/>
      <c r="F77" s="20"/>
      <c r="G77" s="17"/>
      <c r="H77" s="19"/>
      <c r="I77" s="19"/>
      <c r="J77" s="34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x14ac:dyDescent="0.3">
      <c r="A78" s="31"/>
      <c r="B78" s="32"/>
      <c r="C78" s="25"/>
      <c r="D78" s="39"/>
      <c r="E78" s="39"/>
      <c r="F78" s="20"/>
      <c r="G78" s="17"/>
      <c r="H78" s="19"/>
      <c r="I78" s="19"/>
      <c r="J78" s="34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x14ac:dyDescent="0.3">
      <c r="A79" s="31"/>
      <c r="B79" s="43"/>
      <c r="C79" s="25"/>
      <c r="D79" s="39"/>
      <c r="E79" s="39"/>
      <c r="F79" s="20"/>
      <c r="G79" s="17"/>
      <c r="H79" s="19"/>
      <c r="I79" s="19"/>
      <c r="J79" s="34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31"/>
      <c r="B80" s="32"/>
      <c r="C80" s="25"/>
      <c r="D80" s="39"/>
      <c r="E80" s="39"/>
      <c r="F80" s="20"/>
      <c r="G80" s="17"/>
      <c r="H80" s="19"/>
      <c r="I80" s="19"/>
      <c r="J80" s="34"/>
      <c r="K80" s="22"/>
      <c r="L80" s="79"/>
      <c r="M80" s="80"/>
      <c r="N80" s="79"/>
      <c r="O80" s="80"/>
      <c r="P80" s="79"/>
      <c r="Q80" s="80"/>
      <c r="R80" s="79"/>
      <c r="S80" s="80"/>
      <c r="T80" s="79"/>
      <c r="U80" s="80"/>
      <c r="V80" s="23"/>
      <c r="W80" s="24"/>
    </row>
    <row r="81" spans="1:23" x14ac:dyDescent="0.3">
      <c r="A81" s="31"/>
      <c r="B81" s="32"/>
      <c r="C81" s="25"/>
      <c r="D81" s="39"/>
      <c r="E81" s="39"/>
      <c r="F81" s="20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35"/>
      <c r="B82" s="41"/>
      <c r="C82" s="25"/>
      <c r="D82" s="39"/>
      <c r="E82" s="39"/>
      <c r="F82" s="20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35"/>
      <c r="B83" s="36"/>
      <c r="C83" s="25"/>
      <c r="D83" s="39"/>
      <c r="E83" s="39"/>
      <c r="F83" s="20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35"/>
      <c r="B84" s="32"/>
      <c r="C84" s="25"/>
      <c r="D84" s="39"/>
      <c r="E84" s="39"/>
      <c r="F84" s="20"/>
      <c r="G84" s="17"/>
      <c r="H84" s="19"/>
      <c r="I84" s="19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35"/>
      <c r="B85" s="32"/>
      <c r="C85" s="25"/>
      <c r="D85" s="39"/>
      <c r="E85" s="39"/>
      <c r="F85" s="20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35"/>
      <c r="B86" s="32"/>
      <c r="C86" s="25"/>
      <c r="D86" s="39"/>
      <c r="E86" s="39"/>
      <c r="F86" s="20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35"/>
      <c r="B87" s="32"/>
      <c r="C87" s="25"/>
      <c r="D87" s="39"/>
      <c r="E87" s="39"/>
      <c r="F87" s="20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35"/>
      <c r="B88" s="32"/>
      <c r="C88" s="25"/>
      <c r="D88" s="39"/>
      <c r="E88" s="39"/>
      <c r="F88" s="20"/>
      <c r="G88" s="17"/>
      <c r="H88" s="19"/>
      <c r="I88" s="19"/>
      <c r="J88" s="34"/>
      <c r="K88" s="22"/>
      <c r="L88" s="79"/>
      <c r="M88" s="80"/>
      <c r="N88" s="79"/>
      <c r="O88" s="80"/>
      <c r="P88" s="79"/>
      <c r="Q88" s="80"/>
      <c r="R88" s="79"/>
      <c r="S88" s="80"/>
      <c r="T88" s="79"/>
      <c r="U88" s="80"/>
      <c r="V88" s="23"/>
      <c r="W88" s="24"/>
    </row>
    <row r="89" spans="1:23" x14ac:dyDescent="0.3">
      <c r="A89" s="35"/>
      <c r="B89" s="32"/>
      <c r="C89" s="25"/>
      <c r="D89" s="39"/>
      <c r="E89" s="39"/>
      <c r="F89" s="20"/>
      <c r="G89" s="17"/>
      <c r="H89" s="19"/>
      <c r="I89" s="19"/>
      <c r="J89" s="34"/>
      <c r="K89" s="22"/>
      <c r="L89" s="79"/>
      <c r="M89" s="80"/>
      <c r="N89" s="79"/>
      <c r="O89" s="80"/>
      <c r="P89" s="79"/>
      <c r="Q89" s="80"/>
      <c r="R89" s="79"/>
      <c r="S89" s="80"/>
      <c r="T89" s="79"/>
      <c r="U89" s="80"/>
      <c r="V89" s="23"/>
      <c r="W89" s="24"/>
    </row>
    <row r="90" spans="1:23" x14ac:dyDescent="0.3">
      <c r="A90" s="35"/>
      <c r="B90" s="41"/>
      <c r="C90" s="25"/>
      <c r="D90" s="39"/>
      <c r="E90" s="39"/>
      <c r="F90" s="20"/>
      <c r="G90" s="17"/>
      <c r="H90" s="19"/>
      <c r="I90" s="19"/>
      <c r="J90" s="34"/>
      <c r="K90" s="22"/>
      <c r="L90" s="79"/>
      <c r="M90" s="80"/>
      <c r="N90" s="79"/>
      <c r="O90" s="80"/>
      <c r="P90" s="79"/>
      <c r="Q90" s="80"/>
      <c r="R90" s="79"/>
      <c r="S90" s="80"/>
      <c r="T90" s="79"/>
      <c r="U90" s="80"/>
      <c r="V90" s="23"/>
      <c r="W90" s="24"/>
    </row>
    <row r="91" spans="1:23" x14ac:dyDescent="0.3">
      <c r="A91" s="35"/>
      <c r="B91" s="32"/>
      <c r="C91" s="25"/>
      <c r="D91" s="39"/>
      <c r="E91" s="39"/>
      <c r="F91" s="20"/>
      <c r="G91" s="17"/>
      <c r="H91" s="19"/>
      <c r="I91" s="19"/>
      <c r="J91" s="34"/>
      <c r="K91" s="22"/>
      <c r="L91" s="79"/>
      <c r="M91" s="80"/>
      <c r="N91" s="79"/>
      <c r="O91" s="80"/>
      <c r="P91" s="79"/>
      <c r="Q91" s="80"/>
      <c r="R91" s="79"/>
      <c r="S91" s="80"/>
      <c r="T91" s="79"/>
      <c r="U91" s="80"/>
      <c r="V91" s="23"/>
      <c r="W91" s="24"/>
    </row>
    <row r="92" spans="1:23" x14ac:dyDescent="0.3">
      <c r="A92" s="31"/>
      <c r="B92" s="32"/>
      <c r="C92" s="25"/>
      <c r="D92" s="39"/>
      <c r="E92" s="39"/>
      <c r="F92" s="20"/>
      <c r="G92" s="17"/>
      <c r="H92" s="19"/>
      <c r="I92" s="19"/>
      <c r="J92" s="34"/>
      <c r="K92" s="22"/>
      <c r="L92" s="79"/>
      <c r="M92" s="80"/>
      <c r="N92" s="79"/>
      <c r="O92" s="80"/>
      <c r="P92" s="79"/>
      <c r="Q92" s="80"/>
      <c r="R92" s="79"/>
      <c r="S92" s="80"/>
      <c r="T92" s="79"/>
      <c r="U92" s="80"/>
      <c r="V92" s="23"/>
      <c r="W92" s="24"/>
    </row>
    <row r="93" spans="1:23" x14ac:dyDescent="0.3">
      <c r="A93" s="31"/>
      <c r="B93" s="32"/>
      <c r="C93" s="25"/>
      <c r="D93" s="39"/>
      <c r="E93" s="39"/>
      <c r="F93" s="20"/>
      <c r="G93" s="17"/>
      <c r="H93" s="19"/>
      <c r="I93" s="19"/>
      <c r="J93" s="34"/>
      <c r="K93" s="22"/>
      <c r="L93" s="79"/>
      <c r="M93" s="80"/>
      <c r="N93" s="79"/>
      <c r="O93" s="80"/>
      <c r="P93" s="79"/>
      <c r="Q93" s="80"/>
      <c r="R93" s="79"/>
      <c r="S93" s="80"/>
      <c r="T93" s="79"/>
      <c r="U93" s="80"/>
      <c r="V93" s="23"/>
      <c r="W93" s="24"/>
    </row>
    <row r="94" spans="1:23" x14ac:dyDescent="0.3">
      <c r="A94" s="35"/>
      <c r="B94" s="42"/>
      <c r="C94" s="25"/>
      <c r="D94" s="39"/>
      <c r="E94" s="39"/>
      <c r="F94" s="20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5"/>
      <c r="B95" s="36"/>
      <c r="C95" s="25"/>
      <c r="D95" s="39"/>
      <c r="E95" s="39"/>
      <c r="F95" s="20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5"/>
      <c r="B96" s="36"/>
      <c r="C96" s="25"/>
      <c r="D96" s="39"/>
      <c r="E96" s="39"/>
      <c r="F96" s="20"/>
      <c r="G96" s="17"/>
      <c r="H96" s="19"/>
      <c r="I96" s="29"/>
      <c r="J96" s="52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1"/>
      <c r="B97" s="32"/>
      <c r="C97" s="25"/>
      <c r="D97" s="39"/>
      <c r="E97" s="39"/>
      <c r="F97" s="20"/>
      <c r="G97" s="17"/>
      <c r="H97" s="19"/>
      <c r="I97" s="33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1"/>
      <c r="B98" s="32"/>
      <c r="C98" s="25"/>
      <c r="D98" s="39"/>
      <c r="E98" s="39"/>
      <c r="F98" s="20"/>
      <c r="G98" s="17"/>
      <c r="H98" s="19"/>
      <c r="I98" s="33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1"/>
      <c r="B99" s="32"/>
      <c r="C99" s="25"/>
      <c r="D99" s="39"/>
      <c r="E99" s="39"/>
      <c r="F99" s="20"/>
      <c r="G99" s="17"/>
      <c r="H99" s="19"/>
      <c r="I99" s="33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31"/>
      <c r="B100" s="32"/>
      <c r="C100" s="25"/>
      <c r="D100" s="39"/>
      <c r="E100" s="39"/>
      <c r="F100" s="20"/>
      <c r="G100" s="17"/>
      <c r="H100" s="19"/>
      <c r="I100" s="33"/>
      <c r="J100" s="34"/>
      <c r="K100" s="22"/>
      <c r="L100" s="79"/>
      <c r="M100" s="80"/>
      <c r="N100" s="79"/>
      <c r="O100" s="80"/>
      <c r="P100" s="79"/>
      <c r="Q100" s="80"/>
      <c r="R100" s="79"/>
      <c r="S100" s="80"/>
      <c r="T100" s="79"/>
      <c r="U100" s="80"/>
      <c r="V100" s="23"/>
      <c r="W100" s="24"/>
    </row>
    <row r="101" spans="1:23" x14ac:dyDescent="0.3">
      <c r="A101" s="31"/>
      <c r="B101" s="32"/>
      <c r="C101" s="25"/>
      <c r="D101" s="39"/>
      <c r="E101" s="39"/>
      <c r="F101" s="20"/>
      <c r="G101" s="17"/>
      <c r="H101" s="19"/>
      <c r="I101" s="33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1"/>
      <c r="B102" s="32"/>
      <c r="C102" s="25"/>
      <c r="D102" s="39"/>
      <c r="E102" s="39"/>
      <c r="F102" s="20"/>
      <c r="G102" s="17"/>
      <c r="H102" s="19"/>
      <c r="I102" s="33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31"/>
      <c r="B103" s="41"/>
      <c r="C103" s="25"/>
      <c r="D103" s="39"/>
      <c r="E103" s="39"/>
      <c r="F103" s="20"/>
      <c r="G103" s="17"/>
      <c r="H103" s="19"/>
      <c r="I103" s="33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41"/>
      <c r="C104" s="25"/>
      <c r="D104" s="39"/>
      <c r="E104" s="39"/>
      <c r="F104" s="20"/>
      <c r="G104" s="17"/>
      <c r="H104" s="19"/>
      <c r="I104" s="33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x14ac:dyDescent="0.3">
      <c r="A105" s="31"/>
      <c r="B105" s="43"/>
      <c r="C105" s="25"/>
      <c r="D105" s="39"/>
      <c r="E105" s="39"/>
      <c r="F105" s="20"/>
      <c r="G105" s="17"/>
      <c r="H105" s="19"/>
      <c r="I105" s="33"/>
      <c r="J105" s="34"/>
      <c r="K105" s="22"/>
      <c r="L105" s="79"/>
      <c r="M105" s="80"/>
      <c r="N105" s="79"/>
      <c r="O105" s="80"/>
      <c r="P105" s="79"/>
      <c r="Q105" s="80"/>
      <c r="R105" s="79"/>
      <c r="S105" s="80"/>
      <c r="T105" s="79"/>
      <c r="U105" s="80"/>
      <c r="V105" s="23"/>
      <c r="W105" s="24"/>
    </row>
    <row r="106" spans="1:23" x14ac:dyDescent="0.3">
      <c r="A106" s="31"/>
      <c r="B106" s="32"/>
      <c r="C106" s="25"/>
      <c r="D106" s="39"/>
      <c r="E106" s="39"/>
      <c r="F106" s="20"/>
      <c r="G106" s="17"/>
      <c r="H106" s="19"/>
      <c r="I106" s="33"/>
      <c r="J106" s="34"/>
      <c r="K106" s="22"/>
      <c r="L106" s="79"/>
      <c r="M106" s="80"/>
      <c r="N106" s="79"/>
      <c r="O106" s="80"/>
      <c r="P106" s="79"/>
      <c r="Q106" s="80"/>
      <c r="R106" s="79"/>
      <c r="S106" s="80"/>
      <c r="T106" s="79"/>
      <c r="U106" s="80"/>
      <c r="V106" s="23"/>
      <c r="W106" s="24"/>
    </row>
    <row r="107" spans="1:23" x14ac:dyDescent="0.3">
      <c r="A107" s="31"/>
      <c r="B107" s="32"/>
      <c r="C107" s="25"/>
      <c r="D107" s="39"/>
      <c r="E107" s="39"/>
      <c r="F107" s="20"/>
      <c r="G107" s="17"/>
      <c r="H107" s="19"/>
      <c r="I107" s="33"/>
      <c r="J107" s="34"/>
      <c r="K107" s="22"/>
      <c r="L107" s="79"/>
      <c r="M107" s="80"/>
      <c r="N107" s="79"/>
      <c r="O107" s="80"/>
      <c r="P107" s="79"/>
      <c r="Q107" s="80"/>
      <c r="R107" s="79"/>
      <c r="S107" s="80"/>
      <c r="T107" s="79"/>
      <c r="U107" s="80"/>
      <c r="V107" s="23"/>
      <c r="W107" s="24"/>
    </row>
    <row r="108" spans="1:23" x14ac:dyDescent="0.3">
      <c r="A108" s="31"/>
      <c r="B108" s="32"/>
      <c r="C108" s="25"/>
      <c r="D108" s="39"/>
      <c r="E108" s="39"/>
      <c r="F108" s="20"/>
      <c r="G108" s="17"/>
      <c r="H108" s="19"/>
      <c r="I108" s="33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31"/>
      <c r="B109" s="32"/>
      <c r="C109" s="25"/>
      <c r="D109" s="39"/>
      <c r="E109" s="39"/>
      <c r="F109" s="20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25"/>
      <c r="D110" s="39"/>
      <c r="E110" s="39"/>
      <c r="F110" s="20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39"/>
      <c r="E111" s="39"/>
      <c r="F111" s="20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3"/>
      <c r="C112" s="25"/>
      <c r="D112" s="39"/>
      <c r="E112" s="39"/>
      <c r="F112" s="20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41"/>
      <c r="C113" s="25"/>
      <c r="D113" s="39"/>
      <c r="E113" s="39"/>
      <c r="F113" s="20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43"/>
      <c r="C114" s="25"/>
      <c r="D114" s="39"/>
      <c r="E114" s="39"/>
      <c r="F114" s="20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25"/>
      <c r="D115" s="39"/>
      <c r="E115" s="39"/>
      <c r="F115" s="20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25"/>
      <c r="D116" s="39"/>
      <c r="E116" s="39"/>
      <c r="F116" s="20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32"/>
      <c r="C117" s="25"/>
      <c r="D117" s="39"/>
      <c r="E117" s="39"/>
      <c r="F117" s="20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25"/>
      <c r="D118" s="39"/>
      <c r="E118" s="39"/>
      <c r="F118" s="20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25"/>
      <c r="D119" s="39"/>
      <c r="E119" s="39"/>
      <c r="F119" s="20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43"/>
      <c r="C120" s="25"/>
      <c r="D120" s="39"/>
      <c r="E120" s="39"/>
      <c r="F120" s="20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"/>
      <c r="C121" s="25"/>
      <c r="D121" s="39"/>
      <c r="E121" s="39"/>
      <c r="F121" s="20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41"/>
      <c r="C122" s="25"/>
      <c r="D122" s="39"/>
      <c r="E122" s="39"/>
      <c r="F122" s="20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43"/>
      <c r="C123" s="25"/>
      <c r="D123" s="39"/>
      <c r="E123" s="39"/>
      <c r="F123" s="20"/>
      <c r="G123" s="17"/>
      <c r="H123" s="19"/>
      <c r="I123" s="33"/>
      <c r="J123" s="34"/>
      <c r="K123" s="22"/>
      <c r="L123" s="79"/>
      <c r="M123" s="80"/>
      <c r="N123" s="79"/>
      <c r="O123" s="80"/>
      <c r="P123" s="79"/>
      <c r="Q123" s="80"/>
      <c r="R123" s="79"/>
      <c r="S123" s="80"/>
      <c r="T123" s="79"/>
      <c r="U123" s="80"/>
      <c r="V123" s="23"/>
      <c r="W123" s="24"/>
    </row>
    <row r="124" spans="1:23" x14ac:dyDescent="0.3">
      <c r="A124" s="31"/>
      <c r="B124" s="41"/>
      <c r="C124" s="25"/>
      <c r="D124" s="39"/>
      <c r="E124" s="39"/>
      <c r="F124" s="20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</sheetData>
  <conditionalFormatting sqref="G2:G124">
    <cfRule type="cellIs" dxfId="5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C620-0C32-4604-8ED9-645FCFA28390}">
  <sheetPr codeName="Sheet12">
    <tabColor rgb="FF7030A0"/>
  </sheetPr>
  <dimension ref="A1:AMJ134"/>
  <sheetViews>
    <sheetView zoomScale="80" zoomScaleNormal="80" workbookViewId="0">
      <pane xSplit="2" ySplit="1" topLeftCell="D2" activePane="bottomRight" state="frozen"/>
      <selection activeCell="D82" sqref="D82"/>
      <selection pane="topRight" activeCell="D82" sqref="D82"/>
      <selection pane="bottomLeft" activeCell="D82" sqref="D82"/>
      <selection pane="bottomRight" activeCell="B73" sqref="B73"/>
    </sheetView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7.109375" style="16" customWidth="1"/>
    <col min="7" max="7" width="8.5546875" style="16" bestFit="1" customWidth="1"/>
    <col min="8" max="8" width="9" style="16" hidden="1" customWidth="1"/>
    <col min="9" max="9" width="15.88671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>RANK(K2,K$2:K$147,0)</f>
        <v>1</v>
      </c>
      <c r="B2" s="25">
        <v>1471</v>
      </c>
      <c r="C2" s="18" t="str">
        <f>_xlfn.XLOOKUP(__xlnm._FilterDatabase_1512[[#This Row],[SAPSA Number]],Table1[SAPSA number],Table1[Paid up])</f>
        <v>Y</v>
      </c>
      <c r="D2" s="39" t="str">
        <f>_xlfn.XLOOKUP(__xlnm._FilterDatabase_1512[[#This Row],[SAPSA Number]],Table1[SAPSA number],Table1[Name])</f>
        <v>Nikolaus Phillip Karl</v>
      </c>
      <c r="E2" s="39" t="str">
        <f>_xlfn.XLOOKUP(__xlnm._FilterDatabase_1512[[#This Row],[SAPSA Number]],Table1[SAPSA number],Table1[Surname])</f>
        <v>Bernhard</v>
      </c>
      <c r="F2" s="28" t="str">
        <f>_xlfn.XLOOKUP(__xlnm._FilterDatabase_1512[[#This Row],[SAPSA Number]],Table1[SAPSA number],Table1[Initials])</f>
        <v>NPK</v>
      </c>
      <c r="G2" s="17" t="str">
        <f ca="1">_xlfn.XLOOKUP(__xlnm._FilterDatabase_1512[[#This Row],[SAPSA Number]],Table1[SAPSA number],Table1[Gender])</f>
        <v xml:space="preserve"> </v>
      </c>
      <c r="H2" s="19" t="e">
        <f>_xlfn.XLOOKUP(__xlnm._FilterDatabase_1512[[#This Row],[SAPSA Number]],#REF!,#REF!)</f>
        <v>#REF!</v>
      </c>
      <c r="I2" s="19" t="s">
        <v>237</v>
      </c>
      <c r="J2" s="21">
        <f t="shared" ref="J2:J33" si="0">(IF(L2&gt;0,1,0)+(IF(M2&gt;0,1,0))+(IF(N2&gt;0,1,0))+(IF(O2&gt;0,1,0))+(IF(P2&gt;0,1,0))+(IF(Q2&gt;0,1,0))+(IF(R2&gt;0,1,0))+(IF(S2&gt;0,1,0))+(IF(T2&gt;0,1,0))+(IF(U2&gt;0,1,0))+(IF(V2&gt;0,1,0))+(IF(W2&gt;0,1,0)))</f>
        <v>0</v>
      </c>
      <c r="K2" s="22">
        <f t="shared" ref="K2:K33" si="1">(LARGE(L2:U2,1)+LARGE(L2:U2,2)+LARGE(L2:U2,3)+LARGE(L2:U2,4)+LARGE(L2:U2,5))/5</f>
        <v>0</v>
      </c>
      <c r="L2" s="23">
        <v>0</v>
      </c>
      <c r="M2" s="24">
        <v>0</v>
      </c>
      <c r="N2" s="23">
        <v>0</v>
      </c>
      <c r="O2" s="24">
        <v>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RANK(K3,K$2:K$147,0)</f>
        <v>1</v>
      </c>
      <c r="B3" s="25">
        <v>4624</v>
      </c>
      <c r="C3" s="18" t="str">
        <f>_xlfn.XLOOKUP(__xlnm._FilterDatabase_1512[[#This Row],[SAPSA Number]],Table1[SAPSA number],Table1[Paid up])</f>
        <v>Y</v>
      </c>
      <c r="D3" s="39" t="str">
        <f>_xlfn.XLOOKUP(__xlnm._FilterDatabase_1512[[#This Row],[SAPSA Number]],Table1[SAPSA number],Table1[Name])</f>
        <v>Stephanus Christiaan</v>
      </c>
      <c r="E3" s="39" t="str">
        <f>_xlfn.XLOOKUP(__xlnm._FilterDatabase_1512[[#This Row],[SAPSA Number]],Table1[SAPSA number],Table1[Surname])</f>
        <v>Bester</v>
      </c>
      <c r="F3" s="28" t="str">
        <f>_xlfn.XLOOKUP(__xlnm._FilterDatabase_1512[[#This Row],[SAPSA Number]],Table1[SAPSA number],Table1[Initials])</f>
        <v>SC</v>
      </c>
      <c r="G3" s="17" t="str">
        <f ca="1">_xlfn.XLOOKUP(__xlnm._FilterDatabase_1512[[#This Row],[SAPSA Number]],Table1[SAPSA number],Table1[Gender])</f>
        <v>S</v>
      </c>
      <c r="H3" s="19" t="e">
        <f>_xlfn.XLOOKUP(__xlnm._FilterDatabase_1512[[#This Row],[SAPSA Number]],#REF!,#REF!)</f>
        <v>#REF!</v>
      </c>
      <c r="I3" s="19" t="s">
        <v>237</v>
      </c>
      <c r="J3" s="21">
        <f t="shared" si="0"/>
        <v>0</v>
      </c>
      <c r="K3" s="22">
        <f t="shared" si="1"/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RANK(K4,K$2:K$147,0)</f>
        <v>1</v>
      </c>
      <c r="B4" s="25">
        <v>7431</v>
      </c>
      <c r="C4" s="18">
        <f>_xlfn.XLOOKUP(__xlnm._FilterDatabase_1512[[#This Row],[SAPSA Number]],Table1[SAPSA number],Table1[Paid up])</f>
        <v>0</v>
      </c>
      <c r="D4" s="39" t="str">
        <f>_xlfn.XLOOKUP(__xlnm._FilterDatabase_1512[[#This Row],[SAPSA Number]],Table1[SAPSA number],Table1[Name])</f>
        <v>Anton</v>
      </c>
      <c r="E4" s="39" t="str">
        <f>_xlfn.XLOOKUP(__xlnm._FilterDatabase_1512[[#This Row],[SAPSA Number]],Table1[SAPSA number],Table1[Surname])</f>
        <v>Booyse</v>
      </c>
      <c r="F4" s="28" t="str">
        <f>_xlfn.XLOOKUP(__xlnm._FilterDatabase_1512[[#This Row],[SAPSA Number]],Table1[SAPSA number],Table1[Initials])</f>
        <v>A</v>
      </c>
      <c r="G4" s="17">
        <f>_xlfn.XLOOKUP(__xlnm._FilterDatabase_1512[[#This Row],[SAPSA Number]],Table1[SAPSA number],Table1[Gender])</f>
        <v>0</v>
      </c>
      <c r="H4" s="19" t="e">
        <f>_xlfn.XLOOKUP(__xlnm._FilterDatabase_1512[[#This Row],[SAPSA Number]],#REF!,#REF!)</f>
        <v>#REF!</v>
      </c>
      <c r="I4" s="19" t="s">
        <v>237</v>
      </c>
      <c r="J4" s="21">
        <f t="shared" si="0"/>
        <v>0</v>
      </c>
      <c r="K4" s="22">
        <f t="shared" si="1"/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RANK(K5,K$2:K$147,0)</f>
        <v>1</v>
      </c>
      <c r="B5" s="40">
        <v>3349</v>
      </c>
      <c r="C5" s="18">
        <f>_xlfn.XLOOKUP(__xlnm._FilterDatabase_1512[[#This Row],[SAPSA Number]],Table1[SAPSA number],Table1[Paid up])</f>
        <v>0</v>
      </c>
      <c r="D5" s="39" t="str">
        <f>_xlfn.XLOOKUP(__xlnm._FilterDatabase_1512[[#This Row],[SAPSA Number]],Table1[SAPSA number],Table1[Name])</f>
        <v>Stefanus Christiaan</v>
      </c>
      <c r="E5" s="39" t="str">
        <f>_xlfn.XLOOKUP(__xlnm._FilterDatabase_1512[[#This Row],[SAPSA Number]],Table1[SAPSA number],Table1[Surname])</f>
        <v>Bosch</v>
      </c>
      <c r="F5" s="28" t="str">
        <f>_xlfn.XLOOKUP(__xlnm._FilterDatabase_1512[[#This Row],[SAPSA Number]],Table1[SAPSA number],Table1[Initials])</f>
        <v>SC</v>
      </c>
      <c r="G5" s="17" t="str">
        <f ca="1">_xlfn.XLOOKUP(__xlnm._FilterDatabase_1512[[#This Row],[SAPSA Number]],Table1[SAPSA number],Table1[Gender])</f>
        <v>S</v>
      </c>
      <c r="H5" s="19" t="e">
        <f>_xlfn.XLOOKUP(__xlnm._FilterDatabase_1512[[#This Row],[SAPSA Number]],#REF!,#REF!)</f>
        <v>#REF!</v>
      </c>
      <c r="I5" s="19" t="s">
        <v>237</v>
      </c>
      <c r="J5" s="21">
        <f t="shared" si="0"/>
        <v>0</v>
      </c>
      <c r="K5" s="22">
        <f t="shared" si="1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RANK(K6,K$2:K$147,0)</f>
        <v>1</v>
      </c>
      <c r="B6" s="25">
        <v>4621</v>
      </c>
      <c r="C6" s="18">
        <f>_xlfn.XLOOKUP(__xlnm._FilterDatabase_1512[[#This Row],[SAPSA Number]],Table1[SAPSA number],Table1[Paid up])</f>
        <v>0</v>
      </c>
      <c r="D6" s="39" t="str">
        <f>_xlfn.XLOOKUP(__xlnm._FilterDatabase_1512[[#This Row],[SAPSA Number]],Table1[SAPSA number],Table1[Name])</f>
        <v>Colin</v>
      </c>
      <c r="E6" s="39" t="str">
        <f>_xlfn.XLOOKUP(__xlnm._FilterDatabase_1512[[#This Row],[SAPSA Number]],Table1[SAPSA number],Table1[Surname])</f>
        <v>Bowring</v>
      </c>
      <c r="F6" s="28" t="str">
        <f>_xlfn.XLOOKUP(__xlnm._FilterDatabase_1512[[#This Row],[SAPSA Number]],Table1[SAPSA number],Table1[Initials])</f>
        <v>C</v>
      </c>
      <c r="G6" s="17" t="str">
        <f ca="1">_xlfn.XLOOKUP(__xlnm._FilterDatabase_1512[[#This Row],[SAPSA Number]],Table1[SAPSA number],Table1[Gender])</f>
        <v>SS</v>
      </c>
      <c r="H6" s="19" t="e">
        <f>_xlfn.XLOOKUP(__xlnm._FilterDatabase_1512[[#This Row],[SAPSA Number]],#REF!,#REF!)</f>
        <v>#REF!</v>
      </c>
      <c r="I6" s="19" t="s">
        <v>237</v>
      </c>
      <c r="J6" s="21">
        <f t="shared" si="0"/>
        <v>0</v>
      </c>
      <c r="K6" s="22">
        <f t="shared" si="1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RANK(K7,K$2:K$151,0)</f>
        <v>1</v>
      </c>
      <c r="B7" s="25">
        <v>3338</v>
      </c>
      <c r="C7" s="18">
        <f>_xlfn.XLOOKUP(__xlnm._FilterDatabase_1512[[#This Row],[SAPSA Number]],Table1[SAPSA number],Table1[Paid up])</f>
        <v>0</v>
      </c>
      <c r="D7" s="39" t="str">
        <f>_xlfn.XLOOKUP(__xlnm._FilterDatabase_1512[[#This Row],[SAPSA Number]],Table1[SAPSA number],Table1[Name])</f>
        <v>Carl Johann</v>
      </c>
      <c r="E7" s="39" t="str">
        <f>_xlfn.XLOOKUP(__xlnm._FilterDatabase_1512[[#This Row],[SAPSA Number]],Table1[SAPSA number],Table1[Surname])</f>
        <v>Brandt</v>
      </c>
      <c r="F7" s="28" t="str">
        <f>_xlfn.XLOOKUP(__xlnm._FilterDatabase_1512[[#This Row],[SAPSA Number]],Table1[SAPSA number],Table1[Initials])</f>
        <v>CJ</v>
      </c>
      <c r="G7" s="17" t="str">
        <f ca="1">_xlfn.XLOOKUP(__xlnm._FilterDatabase_1512[[#This Row],[SAPSA Number]],Table1[SAPSA number],Table1[Gender])</f>
        <v>S</v>
      </c>
      <c r="H7" s="19" t="e">
        <f>_xlfn.XLOOKUP(__xlnm._FilterDatabase_1512[[#This Row],[SAPSA Number]],#REF!,#REF!)</f>
        <v>#REF!</v>
      </c>
      <c r="I7" s="19" t="s">
        <v>237</v>
      </c>
      <c r="J7" s="21">
        <f t="shared" si="0"/>
        <v>0</v>
      </c>
      <c r="K7" s="22">
        <f t="shared" si="1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 t="shared" ref="A8:A26" si="2">RANK(K8,K$2:K$147,0)</f>
        <v>1</v>
      </c>
      <c r="B8" s="40">
        <v>3350</v>
      </c>
      <c r="C8" s="18">
        <f>_xlfn.XLOOKUP(__xlnm._FilterDatabase_1512[[#This Row],[SAPSA Number]],Table1[SAPSA number],Table1[Paid up])</f>
        <v>0</v>
      </c>
      <c r="D8" s="39" t="str">
        <f>_xlfn.XLOOKUP(__xlnm._FilterDatabase_1512[[#This Row],[SAPSA Number]],Table1[SAPSA number],Table1[Name])</f>
        <v>Conrad Ernest</v>
      </c>
      <c r="E8" s="39" t="str">
        <f>_xlfn.XLOOKUP(__xlnm._FilterDatabase_1512[[#This Row],[SAPSA Number]],Table1[SAPSA number],Table1[Surname])</f>
        <v>Brandt</v>
      </c>
      <c r="F8" s="28" t="str">
        <f>_xlfn.XLOOKUP(__xlnm._FilterDatabase_1512[[#This Row],[SAPSA Number]],Table1[SAPSA number],Table1[Initials])</f>
        <v>CE</v>
      </c>
      <c r="G8" s="17" t="str">
        <f ca="1">_xlfn.XLOOKUP(__xlnm._FilterDatabase_1512[[#This Row],[SAPSA Number]],Table1[SAPSA number],Table1[Gender])</f>
        <v>S</v>
      </c>
      <c r="H8" s="19" t="e">
        <f>_xlfn.XLOOKUP(__xlnm._FilterDatabase_1512[[#This Row],[SAPSA Number]],#REF!,#REF!)</f>
        <v>#REF!</v>
      </c>
      <c r="I8" s="19" t="s">
        <v>237</v>
      </c>
      <c r="J8" s="21">
        <f t="shared" si="0"/>
        <v>0</v>
      </c>
      <c r="K8" s="22">
        <f t="shared" si="1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 t="shared" si="2"/>
        <v>1</v>
      </c>
      <c r="B9" s="25">
        <v>3576</v>
      </c>
      <c r="C9" s="18" t="str">
        <f>_xlfn.XLOOKUP(__xlnm._FilterDatabase_1512[[#This Row],[SAPSA Number]],Table1[SAPSA number],Table1[Paid up])</f>
        <v>Y</v>
      </c>
      <c r="D9" s="39" t="str">
        <f>_xlfn.XLOOKUP(__xlnm._FilterDatabase_1512[[#This Row],[SAPSA Number]],Table1[SAPSA number],Table1[Name])</f>
        <v>Christoff Mechiel</v>
      </c>
      <c r="E9" s="39" t="str">
        <f>_xlfn.XLOOKUP(__xlnm._FilterDatabase_1512[[#This Row],[SAPSA Number]],Table1[SAPSA number],Table1[Surname])</f>
        <v>Brandt</v>
      </c>
      <c r="F9" s="28" t="str">
        <f>_xlfn.XLOOKUP(__xlnm._FilterDatabase_1512[[#This Row],[SAPSA Number]],Table1[SAPSA number],Table1[Initials])</f>
        <v>CM</v>
      </c>
      <c r="G9" s="17" t="str">
        <f ca="1">_xlfn.XLOOKUP(__xlnm._FilterDatabase_1512[[#This Row],[SAPSA Number]],Table1[SAPSA number],Table1[Gender])</f>
        <v xml:space="preserve"> </v>
      </c>
      <c r="H9" s="19" t="e">
        <f>_xlfn.XLOOKUP(__xlnm._FilterDatabase_1512[[#This Row],[SAPSA Number]],#REF!,#REF!)</f>
        <v>#REF!</v>
      </c>
      <c r="I9" s="19" t="s">
        <v>237</v>
      </c>
      <c r="J9" s="21">
        <f t="shared" si="0"/>
        <v>0</v>
      </c>
      <c r="K9" s="22">
        <f t="shared" si="1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si="2"/>
        <v>1</v>
      </c>
      <c r="B10" s="25">
        <v>5304</v>
      </c>
      <c r="C10" s="18">
        <f>_xlfn.XLOOKUP(__xlnm._FilterDatabase_1512[[#This Row],[SAPSA Number]],Table1[SAPSA number],Table1[Paid up])</f>
        <v>0</v>
      </c>
      <c r="D10" s="39" t="str">
        <f>_xlfn.XLOOKUP(__xlnm._FilterDatabase_1512[[#This Row],[SAPSA Number]],Table1[SAPSA number],Table1[Name])</f>
        <v>Johan Gerard</v>
      </c>
      <c r="E10" s="39" t="str">
        <f>_xlfn.XLOOKUP(__xlnm._FilterDatabase_1512[[#This Row],[SAPSA Number]],Table1[SAPSA number],Table1[Surname])</f>
        <v>Bultman</v>
      </c>
      <c r="F10" s="28" t="str">
        <f>_xlfn.XLOOKUP(__xlnm._FilterDatabase_1512[[#This Row],[SAPSA Number]],Table1[SAPSA number],Table1[Initials])</f>
        <v>JG</v>
      </c>
      <c r="G10" s="17" t="str">
        <f ca="1">_xlfn.XLOOKUP(__xlnm._FilterDatabase_1512[[#This Row],[SAPSA Number]],Table1[SAPSA number],Table1[Gender])</f>
        <v xml:space="preserve"> </v>
      </c>
      <c r="H10" s="19" t="e">
        <f>_xlfn.XLOOKUP(__xlnm._FilterDatabase_1512[[#This Row],[SAPSA Number]],#REF!,#REF!)</f>
        <v>#REF!</v>
      </c>
      <c r="I10" s="19" t="s">
        <v>237</v>
      </c>
      <c r="J10" s="21">
        <f t="shared" si="0"/>
        <v>0</v>
      </c>
      <c r="K10" s="22">
        <f t="shared" si="1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2"/>
        <v>1</v>
      </c>
      <c r="B11" s="25">
        <v>259</v>
      </c>
      <c r="C11" s="18" t="str">
        <f>_xlfn.XLOOKUP(__xlnm._FilterDatabase_1512[[#This Row],[SAPSA Number]],Table1[SAPSA number],Table1[Paid up])</f>
        <v>Y</v>
      </c>
      <c r="D11" s="39" t="str">
        <f>_xlfn.XLOOKUP(__xlnm._FilterDatabase_1512[[#This Row],[SAPSA Number]],Table1[SAPSA number],Table1[Name])</f>
        <v>Kathleen Beresford</v>
      </c>
      <c r="E11" s="39" t="str">
        <f>_xlfn.XLOOKUP(__xlnm._FilterDatabase_1512[[#This Row],[SAPSA Number]],Table1[SAPSA number],Table1[Surname])</f>
        <v>Carter</v>
      </c>
      <c r="F11" s="28" t="str">
        <f>_xlfn.XLOOKUP(__xlnm._FilterDatabase_1512[[#This Row],[SAPSA Number]],Table1[SAPSA number],Table1[Initials])</f>
        <v>KB</v>
      </c>
      <c r="G11" s="17" t="str">
        <f>_xlfn.XLOOKUP(__xlnm._FilterDatabase_1512[[#This Row],[SAPSA Number]],Table1[SAPSA number],Table1[Gender])</f>
        <v>Lady</v>
      </c>
      <c r="H11" s="19" t="e">
        <f>_xlfn.XLOOKUP(__xlnm._FilterDatabase_1512[[#This Row],[SAPSA Number]],#REF!,#REF!)</f>
        <v>#REF!</v>
      </c>
      <c r="I11" s="19" t="s">
        <v>237</v>
      </c>
      <c r="J11" s="21">
        <f t="shared" si="0"/>
        <v>0</v>
      </c>
      <c r="K11" s="22">
        <f t="shared" si="1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2"/>
        <v>1</v>
      </c>
      <c r="B12" s="25">
        <v>4316</v>
      </c>
      <c r="C12" s="18" t="str">
        <f>_xlfn.XLOOKUP(__xlnm._FilterDatabase_1512[[#This Row],[SAPSA Number]],Table1[SAPSA number],Table1[Paid up])</f>
        <v>Y</v>
      </c>
      <c r="D12" s="39" t="str">
        <f>_xlfn.XLOOKUP(__xlnm._FilterDatabase_1512[[#This Row],[SAPSA Number]],Table1[SAPSA number],Table1[Name])</f>
        <v>Wilhelm Jacobus</v>
      </c>
      <c r="E12" s="39" t="str">
        <f>_xlfn.XLOOKUP(__xlnm._FilterDatabase_1512[[#This Row],[SAPSA Number]],Table1[SAPSA number],Table1[Surname])</f>
        <v>Coetzee</v>
      </c>
      <c r="F12" s="28" t="str">
        <f>_xlfn.XLOOKUP(__xlnm._FilterDatabase_1512[[#This Row],[SAPSA Number]],Table1[SAPSA number],Table1[Initials])</f>
        <v>WJ</v>
      </c>
      <c r="G12" s="17" t="str">
        <f ca="1">_xlfn.XLOOKUP(__xlnm._FilterDatabase_1512[[#This Row],[SAPSA Number]],Table1[SAPSA number],Table1[Gender])</f>
        <v>S</v>
      </c>
      <c r="H12" s="19" t="e">
        <f>_xlfn.XLOOKUP(__xlnm._FilterDatabase_1512[[#This Row],[SAPSA Number]],#REF!,#REF!)</f>
        <v>#REF!</v>
      </c>
      <c r="I12" s="19" t="s">
        <v>237</v>
      </c>
      <c r="J12" s="21">
        <f t="shared" si="0"/>
        <v>0</v>
      </c>
      <c r="K12" s="22">
        <f t="shared" si="1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2"/>
        <v>1</v>
      </c>
      <c r="B13" s="120">
        <v>591</v>
      </c>
      <c r="C13" s="18" t="str">
        <f>_xlfn.XLOOKUP(__xlnm._FilterDatabase_1512[[#This Row],[SAPSA Number]],Table1[SAPSA number],Table1[Paid up])</f>
        <v>Y</v>
      </c>
      <c r="D13" s="39" t="str">
        <f>_xlfn.XLOOKUP(__xlnm._FilterDatabase_1512[[#This Row],[SAPSA Number]],Table1[SAPSA number],Table1[Name])</f>
        <v>Enrico</v>
      </c>
      <c r="E13" s="39" t="str">
        <f>_xlfn.XLOOKUP(__xlnm._FilterDatabase_1512[[#This Row],[SAPSA Number]],Table1[SAPSA number],Table1[Surname])</f>
        <v>Cupido</v>
      </c>
      <c r="F13" s="28" t="str">
        <f>_xlfn.XLOOKUP(__xlnm._FilterDatabase_1512[[#This Row],[SAPSA Number]],Table1[SAPSA number],Table1[Initials])</f>
        <v>E</v>
      </c>
      <c r="G13" s="17" t="str">
        <f ca="1">_xlfn.XLOOKUP(__xlnm._FilterDatabase_1512[[#This Row],[SAPSA Number]],Table1[SAPSA number],Table1[Gender])</f>
        <v>GS</v>
      </c>
      <c r="H13" s="19" t="e">
        <f>_xlfn.XLOOKUP(__xlnm._FilterDatabase_1512[[#This Row],[SAPSA Number]],#REF!,#REF!)</f>
        <v>#REF!</v>
      </c>
      <c r="I13" s="19" t="s">
        <v>237</v>
      </c>
      <c r="J13" s="21">
        <f t="shared" si="0"/>
        <v>0</v>
      </c>
      <c r="K13" s="22">
        <f t="shared" si="1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2"/>
        <v>1</v>
      </c>
      <c r="B14" s="120">
        <v>601</v>
      </c>
      <c r="C14" s="18" t="str">
        <f>_xlfn.XLOOKUP(__xlnm._FilterDatabase_1512[[#This Row],[SAPSA Number]],Table1[SAPSA number],Table1[Paid up])</f>
        <v>Y</v>
      </c>
      <c r="D14" s="39" t="str">
        <f>_xlfn.XLOOKUP(__xlnm._FilterDatabase_1512[[#This Row],[SAPSA Number]],Table1[SAPSA number],Table1[Name])</f>
        <v>Piero</v>
      </c>
      <c r="E14" s="39" t="str">
        <f>_xlfn.XLOOKUP(__xlnm._FilterDatabase_1512[[#This Row],[SAPSA Number]],Table1[SAPSA number],Table1[Surname])</f>
        <v>Cupido</v>
      </c>
      <c r="F14" s="28" t="str">
        <f>_xlfn.XLOOKUP(__xlnm._FilterDatabase_1512[[#This Row],[SAPSA Number]],Table1[SAPSA number],Table1[Initials])</f>
        <v>P</v>
      </c>
      <c r="G14" s="17" t="str">
        <f ca="1">_xlfn.XLOOKUP(__xlnm._FilterDatabase_1512[[#This Row],[SAPSA Number]],Table1[SAPSA number],Table1[Gender])</f>
        <v xml:space="preserve"> </v>
      </c>
      <c r="H14" s="19" t="e">
        <f>_xlfn.XLOOKUP(__xlnm._FilterDatabase_1512[[#This Row],[SAPSA Number]],#REF!,#REF!)</f>
        <v>#REF!</v>
      </c>
      <c r="I14" s="19" t="s">
        <v>237</v>
      </c>
      <c r="J14" s="21">
        <f t="shared" si="0"/>
        <v>0</v>
      </c>
      <c r="K14" s="22">
        <f t="shared" si="1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2"/>
        <v>1</v>
      </c>
      <c r="B15" s="25">
        <v>288</v>
      </c>
      <c r="C15" s="18" t="str">
        <f>_xlfn.XLOOKUP(__xlnm._FilterDatabase_1512[[#This Row],[SAPSA Number]],Table1[SAPSA number],Table1[Paid up])</f>
        <v>Y</v>
      </c>
      <c r="D15" s="39" t="str">
        <f>_xlfn.XLOOKUP(__xlnm._FilterDatabase_1512[[#This Row],[SAPSA Number]],Table1[SAPSA number],Table1[Name])</f>
        <v>Feroz</v>
      </c>
      <c r="E15" s="39" t="str">
        <f>_xlfn.XLOOKUP(__xlnm._FilterDatabase_1512[[#This Row],[SAPSA Number]],Table1[SAPSA number],Table1[Surname])</f>
        <v>Daya</v>
      </c>
      <c r="F15" s="28" t="str">
        <f>_xlfn.XLOOKUP(__xlnm._FilterDatabase_1512[[#This Row],[SAPSA Number]],Table1[SAPSA number],Table1[Initials])</f>
        <v>F</v>
      </c>
      <c r="G15" s="17" t="str">
        <f ca="1">_xlfn.XLOOKUP(__xlnm._FilterDatabase_1512[[#This Row],[SAPSA Number]],Table1[SAPSA number],Table1[Gender])</f>
        <v>S</v>
      </c>
      <c r="H15" s="19" t="e">
        <f>_xlfn.XLOOKUP(__xlnm._FilterDatabase_1512[[#This Row],[SAPSA Number]],#REF!,#REF!)</f>
        <v>#REF!</v>
      </c>
      <c r="I15" s="19" t="s">
        <v>237</v>
      </c>
      <c r="J15" s="21">
        <f t="shared" si="0"/>
        <v>0</v>
      </c>
      <c r="K15" s="22">
        <f t="shared" si="1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2"/>
        <v>1</v>
      </c>
      <c r="B16" s="25">
        <v>6846</v>
      </c>
      <c r="C16" s="18">
        <f>_xlfn.XLOOKUP(__xlnm._FilterDatabase_1512[[#This Row],[SAPSA Number]],Table1[SAPSA number],Table1[Paid up])</f>
        <v>0</v>
      </c>
      <c r="D16" s="39" t="str">
        <f>_xlfn.XLOOKUP(__xlnm._FilterDatabase_1512[[#This Row],[SAPSA Number]],Table1[SAPSA number],Table1[Name])</f>
        <v>Daniel Stephanus Jacobus</v>
      </c>
      <c r="E16" s="39" t="str">
        <f>_xlfn.XLOOKUP(__xlnm._FilterDatabase_1512[[#This Row],[SAPSA Number]],Table1[SAPSA number],Table1[Surname])</f>
        <v>Dreyer</v>
      </c>
      <c r="F16" s="28" t="str">
        <f>_xlfn.XLOOKUP(__xlnm._FilterDatabase_1512[[#This Row],[SAPSA Number]],Table1[SAPSA number],Table1[Initials])</f>
        <v>DSJ</v>
      </c>
      <c r="G16" s="17" t="str">
        <f ca="1">_xlfn.XLOOKUP(__xlnm._FilterDatabase_1512[[#This Row],[SAPSA Number]],Table1[SAPSA number],Table1[Gender])</f>
        <v xml:space="preserve"> </v>
      </c>
      <c r="H16" s="19" t="e">
        <f>_xlfn.XLOOKUP(__xlnm._FilterDatabase_1512[[#This Row],[SAPSA Number]],#REF!,#REF!)</f>
        <v>#REF!</v>
      </c>
      <c r="I16" s="19" t="s">
        <v>237</v>
      </c>
      <c r="J16" s="21">
        <f t="shared" si="0"/>
        <v>0</v>
      </c>
      <c r="K16" s="22">
        <f t="shared" si="1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2"/>
        <v>1</v>
      </c>
      <c r="B17" s="25">
        <v>392</v>
      </c>
      <c r="C17" s="18" t="str">
        <f>_xlfn.XLOOKUP(__xlnm._FilterDatabase_1512[[#This Row],[SAPSA Number]],Table1[SAPSA number],Table1[Paid up])</f>
        <v>Y</v>
      </c>
      <c r="D17" s="39" t="str">
        <f>_xlfn.XLOOKUP(__xlnm._FilterDatabase_1512[[#This Row],[SAPSA Number]],Table1[SAPSA number],Table1[Name])</f>
        <v>Sasha-Lee</v>
      </c>
      <c r="E17" s="39" t="str">
        <f>_xlfn.XLOOKUP(__xlnm._FilterDatabase_1512[[#This Row],[SAPSA Number]],Table1[SAPSA number],Table1[Surname])</f>
        <v>Du Plessis</v>
      </c>
      <c r="F17" s="28" t="str">
        <f>_xlfn.XLOOKUP(__xlnm._FilterDatabase_1512[[#This Row],[SAPSA Number]],Table1[SAPSA number],Table1[Initials])</f>
        <v>SL</v>
      </c>
      <c r="G17" s="17" t="str">
        <f>_xlfn.XLOOKUP(__xlnm._FilterDatabase_1512[[#This Row],[SAPSA Number]],Table1[SAPSA number],Table1[Gender])</f>
        <v>Lady</v>
      </c>
      <c r="H17" s="19" t="e">
        <f>_xlfn.XLOOKUP(__xlnm._FilterDatabase_1512[[#This Row],[SAPSA Number]],#REF!,#REF!)</f>
        <v>#REF!</v>
      </c>
      <c r="I17" s="19" t="s">
        <v>237</v>
      </c>
      <c r="J17" s="21">
        <f t="shared" si="0"/>
        <v>0</v>
      </c>
      <c r="K17" s="22">
        <f t="shared" si="1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2"/>
        <v>1</v>
      </c>
      <c r="B18" s="25">
        <v>127</v>
      </c>
      <c r="C18" s="18" t="str">
        <f>_xlfn.XLOOKUP(__xlnm._FilterDatabase_1512[[#This Row],[SAPSA Number]],Table1[SAPSA number],Table1[Paid up])</f>
        <v>Y</v>
      </c>
      <c r="D18" s="39" t="str">
        <f>_xlfn.XLOOKUP(__xlnm._FilterDatabase_1512[[#This Row],[SAPSA Number]],Table1[SAPSA number],Table1[Name])</f>
        <v>Eurika Susara</v>
      </c>
      <c r="E18" s="39" t="str">
        <f>_xlfn.XLOOKUP(__xlnm._FilterDatabase_1512[[#This Row],[SAPSA Number]],Table1[SAPSA number],Table1[Surname])</f>
        <v>Du Plooy</v>
      </c>
      <c r="F18" s="28" t="str">
        <f>_xlfn.XLOOKUP(__xlnm._FilterDatabase_1512[[#This Row],[SAPSA Number]],Table1[SAPSA number],Table1[Initials])</f>
        <v>E</v>
      </c>
      <c r="G18" s="17" t="str">
        <f>_xlfn.XLOOKUP(__xlnm._FilterDatabase_1512[[#This Row],[SAPSA Number]],Table1[SAPSA number],Table1[Gender])</f>
        <v>SS</v>
      </c>
      <c r="H18" s="19" t="e">
        <f>_xlfn.XLOOKUP(__xlnm._FilterDatabase_1512[[#This Row],[SAPSA Number]],#REF!,#REF!)</f>
        <v>#REF!</v>
      </c>
      <c r="I18" s="19" t="s">
        <v>237</v>
      </c>
      <c r="J18" s="21">
        <f t="shared" si="0"/>
        <v>0</v>
      </c>
      <c r="K18" s="22">
        <f t="shared" si="1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2"/>
        <v>1</v>
      </c>
      <c r="B19" s="25">
        <v>393</v>
      </c>
      <c r="C19" s="18" t="str">
        <f>_xlfn.XLOOKUP(__xlnm._FilterDatabase_1512[[#This Row],[SAPSA Number]],Table1[SAPSA number],Table1[Paid up])</f>
        <v>Y</v>
      </c>
      <c r="D19" s="39" t="str">
        <f>_xlfn.XLOOKUP(__xlnm._FilterDatabase_1512[[#This Row],[SAPSA Number]],Table1[SAPSA number],Table1[Name])</f>
        <v>Robyn Angela</v>
      </c>
      <c r="E19" s="39" t="str">
        <f>_xlfn.XLOOKUP(__xlnm._FilterDatabase_1512[[#This Row],[SAPSA Number]],Table1[SAPSA number],Table1[Surname])</f>
        <v>Evans</v>
      </c>
      <c r="F19" s="28" t="str">
        <f>_xlfn.XLOOKUP(__xlnm._FilterDatabase_1512[[#This Row],[SAPSA Number]],Table1[SAPSA number],Table1[Initials])</f>
        <v>RA</v>
      </c>
      <c r="G19" s="17" t="str">
        <f>_xlfn.XLOOKUP(__xlnm._FilterDatabase_1512[[#This Row],[SAPSA Number]],Table1[SAPSA number],Table1[Gender])</f>
        <v>Lady</v>
      </c>
      <c r="H19" s="19" t="e">
        <f>_xlfn.XLOOKUP(__xlnm._FilterDatabase_1512[[#This Row],[SAPSA Number]],#REF!,#REF!)</f>
        <v>#REF!</v>
      </c>
      <c r="I19" s="19" t="s">
        <v>237</v>
      </c>
      <c r="J19" s="21">
        <f t="shared" si="0"/>
        <v>0</v>
      </c>
      <c r="K19" s="22">
        <f t="shared" si="1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2"/>
        <v>1</v>
      </c>
      <c r="B20" s="25">
        <v>3172</v>
      </c>
      <c r="C20" s="18" t="str">
        <f>_xlfn.XLOOKUP(__xlnm._FilterDatabase_1512[[#This Row],[SAPSA Number]],Table1[SAPSA number],Table1[Paid up])</f>
        <v>Y</v>
      </c>
      <c r="D20" s="39" t="str">
        <f>_xlfn.XLOOKUP(__xlnm._FilterDatabase_1512[[#This Row],[SAPSA Number]],Table1[SAPSA number],Table1[Name])</f>
        <v>Mervyn-John</v>
      </c>
      <c r="E20" s="39" t="str">
        <f>_xlfn.XLOOKUP(__xlnm._FilterDatabase_1512[[#This Row],[SAPSA Number]],Table1[SAPSA number],Table1[Surname])</f>
        <v>Evans</v>
      </c>
      <c r="F20" s="28" t="str">
        <f>_xlfn.XLOOKUP(__xlnm._FilterDatabase_1512[[#This Row],[SAPSA Number]],Table1[SAPSA number],Table1[Initials])</f>
        <v>MJ</v>
      </c>
      <c r="G20" s="17" t="str">
        <f ca="1">_xlfn.XLOOKUP(__xlnm._FilterDatabase_1512[[#This Row],[SAPSA Number]],Table1[SAPSA number],Table1[Gender])</f>
        <v>SS</v>
      </c>
      <c r="H20" s="19" t="e">
        <f>_xlfn.XLOOKUP(__xlnm._FilterDatabase_1512[[#This Row],[SAPSA Number]],#REF!,#REF!)</f>
        <v>#REF!</v>
      </c>
      <c r="I20" s="19" t="s">
        <v>237</v>
      </c>
      <c r="J20" s="21">
        <f t="shared" si="0"/>
        <v>0</v>
      </c>
      <c r="K20" s="22">
        <f t="shared" si="1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2"/>
        <v>1</v>
      </c>
      <c r="B21" s="25">
        <v>3173</v>
      </c>
      <c r="C21" s="18" t="str">
        <f>_xlfn.XLOOKUP(__xlnm._FilterDatabase_1512[[#This Row],[SAPSA Number]],Table1[SAPSA number],Table1[Paid up])</f>
        <v>Y</v>
      </c>
      <c r="D21" s="39" t="str">
        <f>_xlfn.XLOOKUP(__xlnm._FilterDatabase_1512[[#This Row],[SAPSA Number]],Table1[SAPSA number],Table1[Name])</f>
        <v>Garrett-John</v>
      </c>
      <c r="E21" s="39" t="str">
        <f>_xlfn.XLOOKUP(__xlnm._FilterDatabase_1512[[#This Row],[SAPSA Number]],Table1[SAPSA number],Table1[Surname])</f>
        <v>Evans</v>
      </c>
      <c r="F21" s="28" t="str">
        <f>_xlfn.XLOOKUP(__xlnm._FilterDatabase_1512[[#This Row],[SAPSA Number]],Table1[SAPSA number],Table1[Initials])</f>
        <v>G-J</v>
      </c>
      <c r="G21" s="17" t="str">
        <f ca="1">_xlfn.XLOOKUP(__xlnm._FilterDatabase_1512[[#This Row],[SAPSA Number]],Table1[SAPSA number],Table1[Gender])</f>
        <v xml:space="preserve"> </v>
      </c>
      <c r="H21" s="19" t="e">
        <f>_xlfn.XLOOKUP(__xlnm._FilterDatabase_1512[[#This Row],[SAPSA Number]],#REF!,#REF!)</f>
        <v>#REF!</v>
      </c>
      <c r="I21" s="19" t="s">
        <v>237</v>
      </c>
      <c r="J21" s="21">
        <f t="shared" si="0"/>
        <v>0</v>
      </c>
      <c r="K21" s="22">
        <f t="shared" si="1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2"/>
        <v>1</v>
      </c>
      <c r="B22" s="18">
        <v>7434</v>
      </c>
      <c r="C22" s="18">
        <f>_xlfn.XLOOKUP(__xlnm._FilterDatabase_1512[[#This Row],[SAPSA Number]],Table1[SAPSA number],Table1[Paid up])</f>
        <v>0</v>
      </c>
      <c r="D22" s="39" t="str">
        <f>_xlfn.XLOOKUP(__xlnm._FilterDatabase_1512[[#This Row],[SAPSA Number]],Table1[SAPSA number],Table1[Name])</f>
        <v>Shannon Kimberley</v>
      </c>
      <c r="E22" s="39" t="str">
        <f>_xlfn.XLOOKUP(__xlnm._FilterDatabase_1512[[#This Row],[SAPSA Number]],Table1[SAPSA number],Table1[Surname])</f>
        <v>Gahagan</v>
      </c>
      <c r="F22" s="28" t="str">
        <f>_xlfn.XLOOKUP(__xlnm._FilterDatabase_1512[[#This Row],[SAPSA Number]],Table1[SAPSA number],Table1[Initials])</f>
        <v>S</v>
      </c>
      <c r="G22" s="17" t="str">
        <f>_xlfn.XLOOKUP(__xlnm._FilterDatabase_1512[[#This Row],[SAPSA Number]],Table1[SAPSA number],Table1[Gender])</f>
        <v>Lady</v>
      </c>
      <c r="H22" s="19" t="e">
        <f>_xlfn.XLOOKUP(__xlnm._FilterDatabase_1512[[#This Row],[SAPSA Number]],#REF!,#REF!)</f>
        <v>#REF!</v>
      </c>
      <c r="I22" s="19" t="s">
        <v>237</v>
      </c>
      <c r="J22" s="21">
        <f t="shared" si="0"/>
        <v>0</v>
      </c>
      <c r="K22" s="22">
        <f t="shared" si="1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2"/>
        <v>1</v>
      </c>
      <c r="B23" s="25">
        <v>3782</v>
      </c>
      <c r="C23" s="18">
        <f>_xlfn.XLOOKUP(__xlnm._FilterDatabase_1512[[#This Row],[SAPSA Number]],Table1[SAPSA number],Table1[Paid up])</f>
        <v>0</v>
      </c>
      <c r="D23" s="39" t="str">
        <f>_xlfn.XLOOKUP(__xlnm._FilterDatabase_1512[[#This Row],[SAPSA Number]],Table1[SAPSA number],Table1[Name])</f>
        <v>Gary Athol</v>
      </c>
      <c r="E23" s="39" t="str">
        <f>_xlfn.XLOOKUP(__xlnm._FilterDatabase_1512[[#This Row],[SAPSA Number]],Table1[SAPSA number],Table1[Surname])</f>
        <v>Hagemann</v>
      </c>
      <c r="F23" s="28" t="str">
        <f>_xlfn.XLOOKUP(__xlnm._FilterDatabase_1512[[#This Row],[SAPSA Number]],Table1[SAPSA number],Table1[Initials])</f>
        <v>GA</v>
      </c>
      <c r="G23" s="17" t="str">
        <f ca="1">_xlfn.XLOOKUP(__xlnm._FilterDatabase_1512[[#This Row],[SAPSA Number]],Table1[SAPSA number],Table1[Gender])</f>
        <v>S</v>
      </c>
      <c r="H23" s="19" t="e">
        <f>_xlfn.XLOOKUP(__xlnm._FilterDatabase_1512[[#This Row],[SAPSA Number]],#REF!,#REF!)</f>
        <v>#REF!</v>
      </c>
      <c r="I23" s="19" t="s">
        <v>237</v>
      </c>
      <c r="J23" s="21">
        <f t="shared" si="0"/>
        <v>0</v>
      </c>
      <c r="K23" s="22">
        <f t="shared" si="1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2"/>
        <v>1</v>
      </c>
      <c r="B24" s="25">
        <v>6308</v>
      </c>
      <c r="C24" s="18">
        <f>_xlfn.XLOOKUP(__xlnm._FilterDatabase_1512[[#This Row],[SAPSA Number]],Table1[SAPSA number],Table1[Paid up])</f>
        <v>0</v>
      </c>
      <c r="D24" s="39" t="str">
        <f>_xlfn.XLOOKUP(__xlnm._FilterDatabase_1512[[#This Row],[SAPSA Number]],Table1[SAPSA number],Table1[Name])</f>
        <v>James Matthew</v>
      </c>
      <c r="E24" s="39" t="str">
        <f>_xlfn.XLOOKUP(__xlnm._FilterDatabase_1512[[#This Row],[SAPSA Number]],Table1[SAPSA number],Table1[Surname])</f>
        <v>Hagemann</v>
      </c>
      <c r="F24" s="28" t="str">
        <f>_xlfn.XLOOKUP(__xlnm._FilterDatabase_1512[[#This Row],[SAPSA Number]],Table1[SAPSA number],Table1[Initials])</f>
        <v>JM</v>
      </c>
      <c r="G24" s="17" t="str">
        <f ca="1">_xlfn.XLOOKUP(__xlnm._FilterDatabase_1512[[#This Row],[SAPSA Number]],Table1[SAPSA number],Table1[Gender])</f>
        <v>Jnr</v>
      </c>
      <c r="H24" s="19" t="e">
        <f>_xlfn.XLOOKUP(__xlnm._FilterDatabase_1512[[#This Row],[SAPSA Number]],#REF!,#REF!)</f>
        <v>#REF!</v>
      </c>
      <c r="I24" s="19" t="s">
        <v>237</v>
      </c>
      <c r="J24" s="21">
        <f t="shared" si="0"/>
        <v>0</v>
      </c>
      <c r="K24" s="22">
        <f t="shared" si="1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2"/>
        <v>1</v>
      </c>
      <c r="B25" s="18">
        <v>7328</v>
      </c>
      <c r="C25" s="18" t="str">
        <f>_xlfn.XLOOKUP(__xlnm._FilterDatabase_1512[[#This Row],[SAPSA Number]],Table1[SAPSA number],Table1[Paid up])</f>
        <v>Y</v>
      </c>
      <c r="D25" s="39" t="str">
        <f>_xlfn.XLOOKUP(__xlnm._FilterDatabase_1512[[#This Row],[SAPSA Number]],Table1[SAPSA number],Table1[Name])</f>
        <v>Sizwe</v>
      </c>
      <c r="E25" s="39" t="str">
        <f>_xlfn.XLOOKUP(__xlnm._FilterDatabase_1512[[#This Row],[SAPSA Number]],Table1[SAPSA number],Table1[Surname])</f>
        <v>Hlongwane</v>
      </c>
      <c r="F25" s="28" t="str">
        <f>_xlfn.XLOOKUP(__xlnm._FilterDatabase_1512[[#This Row],[SAPSA Number]],Table1[SAPSA number],Table1[Initials])</f>
        <v>S</v>
      </c>
      <c r="G25" s="17" t="str">
        <f ca="1">_xlfn.XLOOKUP(__xlnm._FilterDatabase_1512[[#This Row],[SAPSA Number]],Table1[SAPSA number],Table1[Gender])</f>
        <v xml:space="preserve"> </v>
      </c>
      <c r="H25" s="19" t="e">
        <f>_xlfn.XLOOKUP(__xlnm._FilterDatabase_1512[[#This Row],[SAPSA Number]],#REF!,#REF!)</f>
        <v>#REF!</v>
      </c>
      <c r="I25" s="19" t="s">
        <v>237</v>
      </c>
      <c r="J25" s="21">
        <f t="shared" si="0"/>
        <v>0</v>
      </c>
      <c r="K25" s="22">
        <f t="shared" si="1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2"/>
        <v>1</v>
      </c>
      <c r="B26" s="18">
        <v>7271</v>
      </c>
      <c r="C26" s="18" t="str">
        <f>_xlfn.XLOOKUP(__xlnm._FilterDatabase_1512[[#This Row],[SAPSA Number]],Table1[SAPSA number],Table1[Paid up])</f>
        <v>Y</v>
      </c>
      <c r="D26" s="39" t="str">
        <f>_xlfn.XLOOKUP(__xlnm._FilterDatabase_1512[[#This Row],[SAPSA Number]],Table1[SAPSA number],Table1[Name])</f>
        <v>Johan</v>
      </c>
      <c r="E26" s="39" t="str">
        <f>_xlfn.XLOOKUP(__xlnm._FilterDatabase_1512[[#This Row],[SAPSA Number]],Table1[SAPSA number],Table1[Surname])</f>
        <v>Jacobs</v>
      </c>
      <c r="F26" s="28" t="str">
        <f>_xlfn.XLOOKUP(__xlnm._FilterDatabase_1512[[#This Row],[SAPSA Number]],Table1[SAPSA number],Table1[Initials])</f>
        <v>J</v>
      </c>
      <c r="G26" s="17" t="str">
        <f ca="1">_xlfn.XLOOKUP(__xlnm._FilterDatabase_1512[[#This Row],[SAPSA Number]],Table1[SAPSA number],Table1[Gender])</f>
        <v xml:space="preserve"> </v>
      </c>
      <c r="H26" s="19" t="e">
        <f>_xlfn.XLOOKUP(__xlnm._FilterDatabase_1512[[#This Row],[SAPSA Number]],#REF!,#REF!)</f>
        <v>#REF!</v>
      </c>
      <c r="I26" s="19" t="s">
        <v>237</v>
      </c>
      <c r="J26" s="21">
        <f t="shared" si="0"/>
        <v>0</v>
      </c>
      <c r="K26" s="22">
        <f t="shared" si="1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>RANK(K27,K$2:K$166,0)</f>
        <v>1</v>
      </c>
      <c r="B27" s="18">
        <v>2655</v>
      </c>
      <c r="C27" s="18" t="str">
        <f>_xlfn.XLOOKUP(__xlnm._FilterDatabase_1512[[#This Row],[SAPSA Number]],Table1[SAPSA number],Table1[Paid up])</f>
        <v>Y</v>
      </c>
      <c r="D27" s="39" t="str">
        <f>_xlfn.XLOOKUP(__xlnm._FilterDatabase_1512[[#This Row],[SAPSA Number]],Table1[SAPSA number],Table1[Name])</f>
        <v>Ruben</v>
      </c>
      <c r="E27" s="39" t="str">
        <f>_xlfn.XLOOKUP(__xlnm._FilterDatabase_1512[[#This Row],[SAPSA Number]],Table1[SAPSA number],Table1[Surname])</f>
        <v>Joubert</v>
      </c>
      <c r="F27" s="28" t="str">
        <f>_xlfn.XLOOKUP(__xlnm._FilterDatabase_1512[[#This Row],[SAPSA Number]],Table1[SAPSA number],Table1[Initials])</f>
        <v>R</v>
      </c>
      <c r="G27" s="17" t="str">
        <f ca="1">_xlfn.XLOOKUP(__xlnm._FilterDatabase_1512[[#This Row],[SAPSA Number]],Table1[SAPSA number],Table1[Gender])</f>
        <v>Jnr</v>
      </c>
      <c r="H27" s="19" t="e">
        <f>_xlfn.XLOOKUP(__xlnm._FilterDatabase_1512[[#This Row],[SAPSA Number]],#REF!,#REF!)</f>
        <v>#REF!</v>
      </c>
      <c r="I27" s="19" t="s">
        <v>237</v>
      </c>
      <c r="J27" s="21">
        <f t="shared" si="0"/>
        <v>0</v>
      </c>
      <c r="K27" s="22">
        <f t="shared" si="1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ref="A28:A68" si="3">RANK(K28,K$2:K$147,0)</f>
        <v>1</v>
      </c>
      <c r="B28" s="18">
        <v>3339</v>
      </c>
      <c r="C28" s="18" t="str">
        <f>_xlfn.XLOOKUP(__xlnm._FilterDatabase_1512[[#This Row],[SAPSA Number]],Table1[SAPSA number],Table1[Paid up])</f>
        <v>Y</v>
      </c>
      <c r="D28" s="39" t="str">
        <f>_xlfn.XLOOKUP(__xlnm._FilterDatabase_1512[[#This Row],[SAPSA Number]],Table1[SAPSA number],Table1[Name])</f>
        <v>Hendrik Johannes</v>
      </c>
      <c r="E28" s="39" t="str">
        <f>_xlfn.XLOOKUP(__xlnm._FilterDatabase_1512[[#This Row],[SAPSA Number]],Table1[SAPSA number],Table1[Surname])</f>
        <v>Joubert</v>
      </c>
      <c r="F28" s="28" t="str">
        <f>_xlfn.XLOOKUP(__xlnm._FilterDatabase_1512[[#This Row],[SAPSA Number]],Table1[SAPSA number],Table1[Initials])</f>
        <v>HJ</v>
      </c>
      <c r="G28" s="17" t="str">
        <f ca="1">_xlfn.XLOOKUP(__xlnm._FilterDatabase_1512[[#This Row],[SAPSA Number]],Table1[SAPSA number],Table1[Gender])</f>
        <v>S</v>
      </c>
      <c r="H28" s="19" t="e">
        <f>_xlfn.XLOOKUP(__xlnm._FilterDatabase_1512[[#This Row],[SAPSA Number]],#REF!,#REF!)</f>
        <v>#REF!</v>
      </c>
      <c r="I28" s="19" t="s">
        <v>237</v>
      </c>
      <c r="J28" s="21">
        <f t="shared" si="0"/>
        <v>0</v>
      </c>
      <c r="K28" s="22">
        <f t="shared" si="1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3"/>
        <v>1</v>
      </c>
      <c r="B29" s="18">
        <v>4094</v>
      </c>
      <c r="C29" s="18" t="str">
        <f>_xlfn.XLOOKUP(__xlnm._FilterDatabase_1512[[#This Row],[SAPSA Number]],Table1[SAPSA number],Table1[Paid up])</f>
        <v>Y</v>
      </c>
      <c r="D29" s="39" t="str">
        <f>_xlfn.XLOOKUP(__xlnm._FilterDatabase_1512[[#This Row],[SAPSA Number]],Table1[SAPSA number],Table1[Name])</f>
        <v>Johan</v>
      </c>
      <c r="E29" s="39" t="str">
        <f>_xlfn.XLOOKUP(__xlnm._FilterDatabase_1512[[#This Row],[SAPSA Number]],Table1[SAPSA number],Table1[Surname])</f>
        <v>Kemp</v>
      </c>
      <c r="F29" s="28" t="str">
        <f>_xlfn.XLOOKUP(__xlnm._FilterDatabase_1512[[#This Row],[SAPSA Number]],Table1[SAPSA number],Table1[Initials])</f>
        <v>J</v>
      </c>
      <c r="G29" s="17" t="str">
        <f ca="1">_xlfn.XLOOKUP(__xlnm._FilterDatabase_1512[[#This Row],[SAPSA Number]],Table1[SAPSA number],Table1[Gender])</f>
        <v xml:space="preserve"> </v>
      </c>
      <c r="H29" s="19" t="e">
        <f>_xlfn.XLOOKUP(__xlnm._FilterDatabase_1512[[#This Row],[SAPSA Number]],#REF!,#REF!)</f>
        <v>#REF!</v>
      </c>
      <c r="I29" s="19" t="s">
        <v>237</v>
      </c>
      <c r="J29" s="21">
        <f t="shared" si="0"/>
        <v>0</v>
      </c>
      <c r="K29" s="22">
        <f t="shared" si="1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3"/>
        <v>1</v>
      </c>
      <c r="B30" s="25">
        <v>6968</v>
      </c>
      <c r="C30" s="18" t="str">
        <f>_xlfn.XLOOKUP(__xlnm._FilterDatabase_1512[[#This Row],[SAPSA Number]],Table1[SAPSA number],Table1[Paid up])</f>
        <v>Y</v>
      </c>
      <c r="D30" s="39" t="str">
        <f>_xlfn.XLOOKUP(__xlnm._FilterDatabase_1512[[#This Row],[SAPSA Number]],Table1[SAPSA number],Table1[Name])</f>
        <v>Ian John</v>
      </c>
      <c r="E30" s="39" t="str">
        <f>_xlfn.XLOOKUP(__xlnm._FilterDatabase_1512[[#This Row],[SAPSA Number]],Table1[SAPSA number],Table1[Surname])</f>
        <v>Kewley</v>
      </c>
      <c r="F30" s="28" t="str">
        <f>_xlfn.XLOOKUP(__xlnm._FilterDatabase_1512[[#This Row],[SAPSA Number]],Table1[SAPSA number],Table1[Initials])</f>
        <v>IJ</v>
      </c>
      <c r="G30" s="17" t="str">
        <f ca="1">_xlfn.XLOOKUP(__xlnm._FilterDatabase_1512[[#This Row],[SAPSA Number]],Table1[SAPSA number],Table1[Gender])</f>
        <v xml:space="preserve"> </v>
      </c>
      <c r="H30" s="19" t="e">
        <f>_xlfn.XLOOKUP(__xlnm._FilterDatabase_1512[[#This Row],[SAPSA Number]],#REF!,#REF!)</f>
        <v>#REF!</v>
      </c>
      <c r="I30" s="19" t="s">
        <v>237</v>
      </c>
      <c r="J30" s="21">
        <f t="shared" si="0"/>
        <v>0</v>
      </c>
      <c r="K30" s="22">
        <f t="shared" si="1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1</v>
      </c>
      <c r="B31" s="25">
        <v>7260</v>
      </c>
      <c r="C31" s="18">
        <f>_xlfn.XLOOKUP(__xlnm._FilterDatabase_1512[[#This Row],[SAPSA Number]],Table1[SAPSA number],Table1[Paid up])</f>
        <v>0</v>
      </c>
      <c r="D31" s="39" t="str">
        <f>_xlfn.XLOOKUP(__xlnm._FilterDatabase_1512[[#This Row],[SAPSA Number]],Table1[SAPSA number],Table1[Name])</f>
        <v>Glenn</v>
      </c>
      <c r="E31" s="39" t="str">
        <f>_xlfn.XLOOKUP(__xlnm._FilterDatabase_1512[[#This Row],[SAPSA Number]],Table1[SAPSA number],Table1[Surname])</f>
        <v>Kieser</v>
      </c>
      <c r="F31" s="28" t="str">
        <f>_xlfn.XLOOKUP(__xlnm._FilterDatabase_1512[[#This Row],[SAPSA Number]],Table1[SAPSA number],Table1[Initials])</f>
        <v>G</v>
      </c>
      <c r="G31" s="17" t="str">
        <f ca="1">_xlfn.XLOOKUP(__xlnm._FilterDatabase_1512[[#This Row],[SAPSA Number]],Table1[SAPSA number],Table1[Gender])</f>
        <v>SS</v>
      </c>
      <c r="H31" s="19" t="e">
        <f>_xlfn.XLOOKUP(__xlnm._FilterDatabase_1512[[#This Row],[SAPSA Number]],#REF!,#REF!)</f>
        <v>#REF!</v>
      </c>
      <c r="I31" s="19" t="s">
        <v>237</v>
      </c>
      <c r="J31" s="21">
        <f t="shared" si="0"/>
        <v>0</v>
      </c>
      <c r="K31" s="22">
        <f t="shared" si="1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1</v>
      </c>
      <c r="B32" s="25">
        <v>252</v>
      </c>
      <c r="C32" s="18" t="str">
        <f>_xlfn.XLOOKUP(__xlnm._FilterDatabase_1512[[#This Row],[SAPSA Number]],Table1[SAPSA number],Table1[Paid up])</f>
        <v>Y</v>
      </c>
      <c r="D32" s="39" t="str">
        <f>_xlfn.XLOOKUP(__xlnm._FilterDatabase_1512[[#This Row],[SAPSA Number]],Table1[SAPSA number],Table1[Name])</f>
        <v>Deon</v>
      </c>
      <c r="E32" s="39" t="str">
        <f>_xlfn.XLOOKUP(__xlnm._FilterDatabase_1512[[#This Row],[SAPSA Number]],Table1[SAPSA number],Table1[Surname])</f>
        <v>Labuschagne</v>
      </c>
      <c r="F32" s="28" t="str">
        <f>_xlfn.XLOOKUP(__xlnm._FilterDatabase_1512[[#This Row],[SAPSA Number]],Table1[SAPSA number],Table1[Initials])</f>
        <v>D</v>
      </c>
      <c r="G32" s="17" t="str">
        <f ca="1">_xlfn.XLOOKUP(__xlnm._FilterDatabase_1512[[#This Row],[SAPSA Number]],Table1[SAPSA number],Table1[Gender])</f>
        <v>GS</v>
      </c>
      <c r="H32" s="19" t="e">
        <f>_xlfn.XLOOKUP(__xlnm._FilterDatabase_1512[[#This Row],[SAPSA Number]],#REF!,#REF!)</f>
        <v>#REF!</v>
      </c>
      <c r="I32" s="19" t="s">
        <v>237</v>
      </c>
      <c r="J32" s="21">
        <f t="shared" si="0"/>
        <v>0</v>
      </c>
      <c r="K32" s="22">
        <f t="shared" si="1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3"/>
        <v>1</v>
      </c>
      <c r="B33" s="40">
        <v>2651</v>
      </c>
      <c r="C33" s="18" t="str">
        <f>_xlfn.XLOOKUP(__xlnm._FilterDatabase_1512[[#This Row],[SAPSA Number]],Table1[SAPSA number],Table1[Paid up])</f>
        <v>Y</v>
      </c>
      <c r="D33" s="39" t="str">
        <f>_xlfn.XLOOKUP(__xlnm._FilterDatabase_1512[[#This Row],[SAPSA Number]],Table1[SAPSA number],Table1[Name])</f>
        <v>Paul Herman</v>
      </c>
      <c r="E33" s="39" t="str">
        <f>_xlfn.XLOOKUP(__xlnm._FilterDatabase_1512[[#This Row],[SAPSA Number]],Table1[SAPSA number],Table1[Surname])</f>
        <v>Leuschner</v>
      </c>
      <c r="F33" s="28" t="str">
        <f>_xlfn.XLOOKUP(__xlnm._FilterDatabase_1512[[#This Row],[SAPSA Number]],Table1[SAPSA number],Table1[Initials])</f>
        <v>PH</v>
      </c>
      <c r="G33" s="17" t="str">
        <f ca="1">_xlfn.XLOOKUP(__xlnm._FilterDatabase_1512[[#This Row],[SAPSA Number]],Table1[SAPSA number],Table1[Gender])</f>
        <v>S</v>
      </c>
      <c r="H33" s="19" t="e">
        <f>_xlfn.XLOOKUP(__xlnm._FilterDatabase_1512[[#This Row],[SAPSA Number]],#REF!,#REF!)</f>
        <v>#REF!</v>
      </c>
      <c r="I33" s="19" t="s">
        <v>237</v>
      </c>
      <c r="J33" s="21">
        <f t="shared" si="0"/>
        <v>0</v>
      </c>
      <c r="K33" s="22">
        <f t="shared" si="1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3"/>
        <v>1</v>
      </c>
      <c r="B34" s="25">
        <v>683</v>
      </c>
      <c r="C34" s="18">
        <f>_xlfn.XLOOKUP(__xlnm._FilterDatabase_1512[[#This Row],[SAPSA Number]],Table1[SAPSA number],Table1[Paid up])</f>
        <v>0</v>
      </c>
      <c r="D34" s="39" t="str">
        <f>_xlfn.XLOOKUP(__xlnm._FilterDatabase_1512[[#This Row],[SAPSA Number]],Table1[SAPSA number],Table1[Name])</f>
        <v>Ivor</v>
      </c>
      <c r="E34" s="39" t="str">
        <f>_xlfn.XLOOKUP(__xlnm._FilterDatabase_1512[[#This Row],[SAPSA Number]],Table1[SAPSA number],Table1[Surname])</f>
        <v>Marais</v>
      </c>
      <c r="F34" s="28" t="str">
        <f>_xlfn.XLOOKUP(__xlnm._FilterDatabase_1512[[#This Row],[SAPSA Number]],Table1[SAPSA number],Table1[Initials])</f>
        <v>I</v>
      </c>
      <c r="G34" s="17" t="str">
        <f ca="1">_xlfn.XLOOKUP(__xlnm._FilterDatabase_1512[[#This Row],[SAPSA Number]],Table1[SAPSA number],Table1[Gender])</f>
        <v>S</v>
      </c>
      <c r="H34" s="19" t="e">
        <f>_xlfn.XLOOKUP(__xlnm._FilterDatabase_1512[[#This Row],[SAPSA Number]],#REF!,#REF!)</f>
        <v>#REF!</v>
      </c>
      <c r="I34" s="19" t="s">
        <v>237</v>
      </c>
      <c r="J34" s="21">
        <f t="shared" ref="J34:J68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3"/>
        <v>1</v>
      </c>
      <c r="B35" s="25">
        <v>4862</v>
      </c>
      <c r="C35" s="18" t="str">
        <f>_xlfn.XLOOKUP(__xlnm._FilterDatabase_1512[[#This Row],[SAPSA Number]],Table1[SAPSA number],Table1[Paid up])</f>
        <v>Y</v>
      </c>
      <c r="D35" s="39" t="str">
        <f>_xlfn.XLOOKUP(__xlnm._FilterDatabase_1512[[#This Row],[SAPSA Number]],Table1[SAPSA number],Table1[Name])</f>
        <v>George Keith</v>
      </c>
      <c r="E35" s="39" t="str">
        <f>_xlfn.XLOOKUP(__xlnm._FilterDatabase_1512[[#This Row],[SAPSA Number]],Table1[SAPSA number],Table1[Surname])</f>
        <v>Marais</v>
      </c>
      <c r="F35" s="28" t="str">
        <f>_xlfn.XLOOKUP(__xlnm._FilterDatabase_1512[[#This Row],[SAPSA Number]],Table1[SAPSA number],Table1[Initials])</f>
        <v>GK</v>
      </c>
      <c r="G35" s="17" t="str">
        <f ca="1">_xlfn.XLOOKUP(__xlnm._FilterDatabase_1512[[#This Row],[SAPSA Number]],Table1[SAPSA number],Table1[Gender])</f>
        <v>S</v>
      </c>
      <c r="H35" s="19" t="e">
        <f>_xlfn.XLOOKUP(__xlnm._FilterDatabase_1512[[#This Row],[SAPSA Number]],#REF!,#REF!)</f>
        <v>#REF!</v>
      </c>
      <c r="I35" s="19" t="s">
        <v>237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3"/>
        <v>1</v>
      </c>
      <c r="B36" s="40">
        <v>6966</v>
      </c>
      <c r="C36" s="18" t="str">
        <f>_xlfn.XLOOKUP(__xlnm._FilterDatabase_1512[[#This Row],[SAPSA Number]],Table1[SAPSA number],Table1[Paid up])</f>
        <v>Y</v>
      </c>
      <c r="D36" s="39" t="str">
        <f>_xlfn.XLOOKUP(__xlnm._FilterDatabase_1512[[#This Row],[SAPSA Number]],Table1[SAPSA number],Table1[Name])</f>
        <v>James</v>
      </c>
      <c r="E36" s="39" t="str">
        <f>_xlfn.XLOOKUP(__xlnm._FilterDatabase_1512[[#This Row],[SAPSA Number]],Table1[SAPSA number],Table1[Surname])</f>
        <v>Masonganye</v>
      </c>
      <c r="F36" s="28" t="str">
        <f>_xlfn.XLOOKUP(__xlnm._FilterDatabase_1512[[#This Row],[SAPSA Number]],Table1[SAPSA number],Table1[Initials])</f>
        <v>J</v>
      </c>
      <c r="G36" s="17" t="str">
        <f ca="1">_xlfn.XLOOKUP(__xlnm._FilterDatabase_1512[[#This Row],[SAPSA Number]],Table1[SAPSA number],Table1[Gender])</f>
        <v>S</v>
      </c>
      <c r="H36" s="19" t="e">
        <f>_xlfn.XLOOKUP(__xlnm._FilterDatabase_1512[[#This Row],[SAPSA Number]],#REF!,#REF!)</f>
        <v>#REF!</v>
      </c>
      <c r="I36" s="19" t="s">
        <v>237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1</v>
      </c>
      <c r="B37" s="25">
        <v>7132</v>
      </c>
      <c r="C37" s="18" t="str">
        <f>_xlfn.XLOOKUP(__xlnm._FilterDatabase_1512[[#This Row],[SAPSA Number]],Table1[SAPSA number],Table1[Paid up])</f>
        <v>Y</v>
      </c>
      <c r="D37" s="39" t="str">
        <f>_xlfn.XLOOKUP(__xlnm._FilterDatabase_1512[[#This Row],[SAPSA Number]],Table1[SAPSA number],Table1[Name])</f>
        <v>Yussuf</v>
      </c>
      <c r="E37" s="39" t="str">
        <f>_xlfn.XLOOKUP(__xlnm._FilterDatabase_1512[[#This Row],[SAPSA Number]],Table1[SAPSA number],Table1[Surname])</f>
        <v>Mayet</v>
      </c>
      <c r="F37" s="28" t="str">
        <f>_xlfn.XLOOKUP(__xlnm._FilterDatabase_1512[[#This Row],[SAPSA Number]],Table1[SAPSA number],Table1[Initials])</f>
        <v>Y</v>
      </c>
      <c r="G37" s="17" t="str">
        <f ca="1">_xlfn.XLOOKUP(__xlnm._FilterDatabase_1512[[#This Row],[SAPSA Number]],Table1[SAPSA number],Table1[Gender])</f>
        <v>GS</v>
      </c>
      <c r="H37" s="19" t="e">
        <f>_xlfn.XLOOKUP(__xlnm._FilterDatabase_1512[[#This Row],[SAPSA Number]],#REF!,#REF!)</f>
        <v>#REF!</v>
      </c>
      <c r="I37" s="19" t="s">
        <v>237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1</v>
      </c>
      <c r="B38" s="25">
        <v>851</v>
      </c>
      <c r="C38" s="18" t="str">
        <f>_xlfn.XLOOKUP(__xlnm._FilterDatabase_1512[[#This Row],[SAPSA Number]],Table1[SAPSA number],Table1[Paid up])</f>
        <v>Y</v>
      </c>
      <c r="D38" s="39" t="str">
        <f>_xlfn.XLOOKUP(__xlnm._FilterDatabase_1512[[#This Row],[SAPSA Number]],Table1[SAPSA number],Table1[Name])</f>
        <v>Ian David</v>
      </c>
      <c r="E38" s="39" t="str">
        <f>_xlfn.XLOOKUP(__xlnm._FilterDatabase_1512[[#This Row],[SAPSA Number]],Table1[SAPSA number],Table1[Surname])</f>
        <v>McLaren</v>
      </c>
      <c r="F38" s="28" t="str">
        <f>_xlfn.XLOOKUP(__xlnm._FilterDatabase_1512[[#This Row],[SAPSA Number]],Table1[SAPSA number],Table1[Initials])</f>
        <v>ID</v>
      </c>
      <c r="G38" s="17" t="str">
        <f ca="1">_xlfn.XLOOKUP(__xlnm._FilterDatabase_1512[[#This Row],[SAPSA Number]],Table1[SAPSA number],Table1[Gender])</f>
        <v>SS</v>
      </c>
      <c r="H38" s="19" t="e">
        <f>_xlfn.XLOOKUP(__xlnm._FilterDatabase_1512[[#This Row],[SAPSA Number]],#REF!,#REF!)</f>
        <v>#REF!</v>
      </c>
      <c r="I38" s="19" t="s">
        <v>237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1</v>
      </c>
      <c r="B39" s="25">
        <v>5200</v>
      </c>
      <c r="C39" s="18">
        <f>_xlfn.XLOOKUP(__xlnm._FilterDatabase_1512[[#This Row],[SAPSA Number]],Table1[SAPSA number],Table1[Paid up])</f>
        <v>0</v>
      </c>
      <c r="D39" s="39" t="str">
        <f>_xlfn.XLOOKUP(__xlnm._FilterDatabase_1512[[#This Row],[SAPSA Number]],Table1[SAPSA number],Table1[Name])</f>
        <v>Daniel</v>
      </c>
      <c r="E39" s="39" t="str">
        <f>_xlfn.XLOOKUP(__xlnm._FilterDatabase_1512[[#This Row],[SAPSA Number]],Table1[SAPSA number],Table1[Surname])</f>
        <v>McWilliam</v>
      </c>
      <c r="F39" s="28" t="str">
        <f>_xlfn.XLOOKUP(__xlnm._FilterDatabase_1512[[#This Row],[SAPSA Number]],Table1[SAPSA number],Table1[Initials])</f>
        <v>D</v>
      </c>
      <c r="G39" s="17" t="str">
        <f ca="1">_xlfn.XLOOKUP(__xlnm._FilterDatabase_1512[[#This Row],[SAPSA Number]],Table1[SAPSA number],Table1[Gender])</f>
        <v xml:space="preserve"> </v>
      </c>
      <c r="H39" s="19" t="e">
        <f>_xlfn.XLOOKUP(__xlnm._FilterDatabase_1512[[#This Row],[SAPSA Number]],#REF!,#REF!)</f>
        <v>#REF!</v>
      </c>
      <c r="I39" s="19" t="s">
        <v>237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1</v>
      </c>
      <c r="B40" s="25">
        <v>1771</v>
      </c>
      <c r="C40" s="18" t="str">
        <f>_xlfn.XLOOKUP(__xlnm._FilterDatabase_1512[[#This Row],[SAPSA Number]],Table1[SAPSA number],Table1[Paid up])</f>
        <v>Y</v>
      </c>
      <c r="D40" s="39" t="str">
        <f>_xlfn.XLOOKUP(__xlnm._FilterDatabase_1512[[#This Row],[SAPSA Number]],Table1[SAPSA number],Table1[Name])</f>
        <v>Rodney Ralph</v>
      </c>
      <c r="E40" s="39" t="str">
        <f>_xlfn.XLOOKUP(__xlnm._FilterDatabase_1512[[#This Row],[SAPSA Number]],Table1[SAPSA number],Table1[Surname])</f>
        <v>Mills</v>
      </c>
      <c r="F40" s="28" t="str">
        <f>_xlfn.XLOOKUP(__xlnm._FilterDatabase_1512[[#This Row],[SAPSA Number]],Table1[SAPSA number],Table1[Initials])</f>
        <v>RR</v>
      </c>
      <c r="G40" s="17" t="str">
        <f ca="1">_xlfn.XLOOKUP(__xlnm._FilterDatabase_1512[[#This Row],[SAPSA Number]],Table1[SAPSA number],Table1[Gender])</f>
        <v>GS</v>
      </c>
      <c r="H40" s="19" t="e">
        <f>_xlfn.XLOOKUP(__xlnm._FilterDatabase_1512[[#This Row],[SAPSA Number]],#REF!,#REF!)</f>
        <v>#REF!</v>
      </c>
      <c r="I40" s="19" t="s">
        <v>237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si="3"/>
        <v>1</v>
      </c>
      <c r="B41" s="25">
        <v>1637</v>
      </c>
      <c r="C41" s="18">
        <f>_xlfn.XLOOKUP(__xlnm._FilterDatabase_1512[[#This Row],[SAPSA Number]],Table1[SAPSA number],Table1[Paid up])</f>
        <v>0</v>
      </c>
      <c r="D41" s="39" t="str">
        <f>_xlfn.XLOOKUP(__xlnm._FilterDatabase_1512[[#This Row],[SAPSA Number]],Table1[SAPSA number],Table1[Name])</f>
        <v>Andre Johann Pieter</v>
      </c>
      <c r="E41" s="39" t="str">
        <f>_xlfn.XLOOKUP(__xlnm._FilterDatabase_1512[[#This Row],[SAPSA Number]],Table1[SAPSA number],Table1[Surname])</f>
        <v>Mouton</v>
      </c>
      <c r="F41" s="28" t="str">
        <f>_xlfn.XLOOKUP(__xlnm._FilterDatabase_1512[[#This Row],[SAPSA Number]],Table1[SAPSA number],Table1[Initials])</f>
        <v>AJP</v>
      </c>
      <c r="G41" s="17" t="str">
        <f ca="1">_xlfn.XLOOKUP(__xlnm._FilterDatabase_1512[[#This Row],[SAPSA Number]],Table1[SAPSA number],Table1[Gender])</f>
        <v>GS</v>
      </c>
      <c r="H41" s="19" t="e">
        <f>_xlfn.XLOOKUP(__xlnm._FilterDatabase_1512[[#This Row],[SAPSA Number]],#REF!,#REF!)</f>
        <v>#REF!</v>
      </c>
      <c r="I41" s="19" t="s">
        <v>237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 t="shared" si="3"/>
        <v>1</v>
      </c>
      <c r="B42" s="25">
        <v>1777</v>
      </c>
      <c r="C42" s="18" t="str">
        <f>_xlfn.XLOOKUP(__xlnm._FilterDatabase_1512[[#This Row],[SAPSA Number]],Table1[SAPSA number],Table1[Paid up])</f>
        <v>Y</v>
      </c>
      <c r="D42" s="39" t="str">
        <f>_xlfn.XLOOKUP(__xlnm._FilterDatabase_1512[[#This Row],[SAPSA Number]],Table1[SAPSA number],Table1[Name])</f>
        <v xml:space="preserve">Leon </v>
      </c>
      <c r="E42" s="39" t="str">
        <f>_xlfn.XLOOKUP(__xlnm._FilterDatabase_1512[[#This Row],[SAPSA Number]],Table1[SAPSA number],Table1[Surname])</f>
        <v>Myburgh</v>
      </c>
      <c r="F42" s="28" t="str">
        <f>_xlfn.XLOOKUP(__xlnm._FilterDatabase_1512[[#This Row],[SAPSA Number]],Table1[SAPSA number],Table1[Initials])</f>
        <v>LC</v>
      </c>
      <c r="G42" s="17" t="str">
        <f ca="1">_xlfn.XLOOKUP(__xlnm._FilterDatabase_1512[[#This Row],[SAPSA Number]],Table1[SAPSA number],Table1[Gender])</f>
        <v>S</v>
      </c>
      <c r="H42" s="19" t="e">
        <f>_xlfn.XLOOKUP(__xlnm._FilterDatabase_1512[[#This Row],[SAPSA Number]],#REF!,#REF!)</f>
        <v>#REF!</v>
      </c>
      <c r="I42" s="19" t="s">
        <v>237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3"/>
        <v>1</v>
      </c>
      <c r="B43" s="25">
        <v>5804</v>
      </c>
      <c r="C43" s="18" t="str">
        <f>_xlfn.XLOOKUP(__xlnm._FilterDatabase_1512[[#This Row],[SAPSA Number]],Table1[SAPSA number],Table1[Paid up])</f>
        <v>Y</v>
      </c>
      <c r="D43" s="39" t="str">
        <f>_xlfn.XLOOKUP(__xlnm._FilterDatabase_1512[[#This Row],[SAPSA Number]],Table1[SAPSA number],Table1[Name])</f>
        <v>Louis Johannes</v>
      </c>
      <c r="E43" s="39" t="str">
        <f>_xlfn.XLOOKUP(__xlnm._FilterDatabase_1512[[#This Row],[SAPSA Number]],Table1[SAPSA number],Table1[Surname])</f>
        <v>Nel</v>
      </c>
      <c r="F43" s="28" t="str">
        <f>_xlfn.XLOOKUP(__xlnm._FilterDatabase_1512[[#This Row],[SAPSA Number]],Table1[SAPSA number],Table1[Initials])</f>
        <v>LJ</v>
      </c>
      <c r="G43" s="17" t="str">
        <f ca="1">_xlfn.XLOOKUP(__xlnm._FilterDatabase_1512[[#This Row],[SAPSA Number]],Table1[SAPSA number],Table1[Gender])</f>
        <v xml:space="preserve"> </v>
      </c>
      <c r="H43" s="19" t="e">
        <f>_xlfn.XLOOKUP(__xlnm._FilterDatabase_1512[[#This Row],[SAPSA Number]],#REF!,#REF!)</f>
        <v>#REF!</v>
      </c>
      <c r="I43" s="19" t="s">
        <v>237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3"/>
        <v>1</v>
      </c>
      <c r="B44" s="25">
        <v>250</v>
      </c>
      <c r="C44" s="18">
        <f>_xlfn.XLOOKUP(__xlnm._FilterDatabase_1512[[#This Row],[SAPSA Number]],Table1[SAPSA number],Table1[Paid up])</f>
        <v>0</v>
      </c>
      <c r="D44" s="39" t="str">
        <f>_xlfn.XLOOKUP(__xlnm._FilterDatabase_1512[[#This Row],[SAPSA Number]],Table1[SAPSA number],Table1[Name])</f>
        <v>Adriano Walter</v>
      </c>
      <c r="E44" s="39" t="str">
        <f>_xlfn.XLOOKUP(__xlnm._FilterDatabase_1512[[#This Row],[SAPSA Number]],Table1[SAPSA number],Table1[Surname])</f>
        <v>Paschini</v>
      </c>
      <c r="F44" s="28" t="str">
        <f>_xlfn.XLOOKUP(__xlnm._FilterDatabase_1512[[#This Row],[SAPSA Number]],Table1[SAPSA number],Table1[Initials])</f>
        <v>AW</v>
      </c>
      <c r="G44" s="17" t="str">
        <f ca="1">_xlfn.XLOOKUP(__xlnm._FilterDatabase_1512[[#This Row],[SAPSA Number]],Table1[SAPSA number],Table1[Gender])</f>
        <v>SS</v>
      </c>
      <c r="H44" s="19" t="e">
        <f>_xlfn.XLOOKUP(__xlnm._FilterDatabase_1512[[#This Row],[SAPSA Number]],#REF!,#REF!)</f>
        <v>#REF!</v>
      </c>
      <c r="I44" s="19" t="s">
        <v>237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3"/>
        <v>1</v>
      </c>
      <c r="B45" s="27">
        <v>6633</v>
      </c>
      <c r="C45" s="18">
        <f>_xlfn.XLOOKUP(__xlnm._FilterDatabase_1512[[#This Row],[SAPSA Number]],Table1[SAPSA number],Table1[Paid up])</f>
        <v>0</v>
      </c>
      <c r="D45" s="39" t="str">
        <f>_xlfn.XLOOKUP(__xlnm._FilterDatabase_1512[[#This Row],[SAPSA Number]],Table1[SAPSA number],Table1[Name])</f>
        <v>Allessandro Raffaele</v>
      </c>
      <c r="E45" s="39" t="str">
        <f>_xlfn.XLOOKUP(__xlnm._FilterDatabase_1512[[#This Row],[SAPSA Number]],Table1[SAPSA number],Table1[Surname])</f>
        <v>Paschini</v>
      </c>
      <c r="F45" s="28" t="str">
        <f>_xlfn.XLOOKUP(__xlnm._FilterDatabase_1512[[#This Row],[SAPSA Number]],Table1[SAPSA number],Table1[Initials])</f>
        <v>AR</v>
      </c>
      <c r="G45" s="17" t="str">
        <f ca="1">_xlfn.XLOOKUP(__xlnm._FilterDatabase_1512[[#This Row],[SAPSA Number]],Table1[SAPSA number],Table1[Gender])</f>
        <v xml:space="preserve"> </v>
      </c>
      <c r="H45" s="19" t="e">
        <f>_xlfn.XLOOKUP(__xlnm._FilterDatabase_1512[[#This Row],[SAPSA Number]],#REF!,#REF!)</f>
        <v>#REF!</v>
      </c>
      <c r="I45" s="19" t="s">
        <v>237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3"/>
        <v>1</v>
      </c>
      <c r="B46" s="18">
        <v>7478</v>
      </c>
      <c r="C46" s="18">
        <f>_xlfn.XLOOKUP(__xlnm._FilterDatabase_1512[[#This Row],[SAPSA Number]],Table1[SAPSA number],Table1[Paid up])</f>
        <v>0</v>
      </c>
      <c r="D46" s="39" t="str">
        <f>_xlfn.XLOOKUP(__xlnm._FilterDatabase_1512[[#This Row],[SAPSA Number]],Table1[SAPSA number],Table1[Name])</f>
        <v>Annemarie</v>
      </c>
      <c r="E46" s="39" t="str">
        <f>_xlfn.XLOOKUP(__xlnm._FilterDatabase_1512[[#This Row],[SAPSA Number]],Table1[SAPSA number],Table1[Surname])</f>
        <v>Pienaar</v>
      </c>
      <c r="F46" s="28" t="str">
        <f>_xlfn.XLOOKUP(__xlnm._FilterDatabase_1512[[#This Row],[SAPSA Number]],Table1[SAPSA number],Table1[Initials])</f>
        <v>A</v>
      </c>
      <c r="G46" s="17" t="str">
        <f>_xlfn.XLOOKUP(__xlnm._FilterDatabase_1512[[#This Row],[SAPSA Number]],Table1[SAPSA number],Table1[Gender])</f>
        <v>Lady</v>
      </c>
      <c r="H46" s="19" t="e">
        <f>_xlfn.XLOOKUP(__xlnm._FilterDatabase_1512[[#This Row],[SAPSA Number]],#REF!,#REF!)</f>
        <v>#REF!</v>
      </c>
      <c r="I46" s="19" t="s">
        <v>237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3"/>
        <v>1</v>
      </c>
      <c r="B47" s="18">
        <v>2950</v>
      </c>
      <c r="C47" s="18">
        <f>_xlfn.XLOOKUP(__xlnm._FilterDatabase_1512[[#This Row],[SAPSA Number]],Table1[SAPSA number],Table1[Paid up])</f>
        <v>0</v>
      </c>
      <c r="D47" s="39" t="str">
        <f>_xlfn.XLOOKUP(__xlnm._FilterDatabase_1512[[#This Row],[SAPSA Number]],Table1[SAPSA number],Table1[Name])</f>
        <v>Renier Jansen</v>
      </c>
      <c r="E47" s="39" t="str">
        <f>_xlfn.XLOOKUP(__xlnm._FilterDatabase_1512[[#This Row],[SAPSA Number]],Table1[SAPSA number],Table1[Surname])</f>
        <v>Reynders</v>
      </c>
      <c r="F47" s="28" t="str">
        <f>_xlfn.XLOOKUP(__xlnm._FilterDatabase_1512[[#This Row],[SAPSA Number]],Table1[SAPSA number],Table1[Initials])</f>
        <v>RJ</v>
      </c>
      <c r="G47" s="17" t="str">
        <f ca="1">_xlfn.XLOOKUP(__xlnm._FilterDatabase_1512[[#This Row],[SAPSA Number]],Table1[SAPSA number],Table1[Gender])</f>
        <v xml:space="preserve"> </v>
      </c>
      <c r="H47" s="19" t="e">
        <f>_xlfn.XLOOKUP(__xlnm._FilterDatabase_1512[[#This Row],[SAPSA Number]],#REF!,#REF!)</f>
        <v>#REF!</v>
      </c>
      <c r="I47" s="19" t="s">
        <v>237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 t="shared" si="3"/>
        <v>1</v>
      </c>
      <c r="B48" s="25">
        <v>1929</v>
      </c>
      <c r="C48" s="18">
        <f>_xlfn.XLOOKUP(__xlnm._FilterDatabase_1512[[#This Row],[SAPSA Number]],Table1[SAPSA number],Table1[Paid up])</f>
        <v>0</v>
      </c>
      <c r="D48" s="39" t="str">
        <f>_xlfn.XLOOKUP(__xlnm._FilterDatabase_1512[[#This Row],[SAPSA Number]],Table1[SAPSA number],Table1[Name])</f>
        <v>Chris</v>
      </c>
      <c r="E48" s="39" t="str">
        <f>_xlfn.XLOOKUP(__xlnm._FilterDatabase_1512[[#This Row],[SAPSA Number]],Table1[SAPSA number],Table1[Surname])</f>
        <v>Ridout</v>
      </c>
      <c r="F48" s="28" t="str">
        <f>_xlfn.XLOOKUP(__xlnm._FilterDatabase_1512[[#This Row],[SAPSA Number]],Table1[SAPSA number],Table1[Initials])</f>
        <v>CJ</v>
      </c>
      <c r="G48" s="17" t="str">
        <f ca="1">_xlfn.XLOOKUP(__xlnm._FilterDatabase_1512[[#This Row],[SAPSA Number]],Table1[SAPSA number],Table1[Gender])</f>
        <v xml:space="preserve"> </v>
      </c>
      <c r="H48" s="19" t="e">
        <f>_xlfn.XLOOKUP(__xlnm._FilterDatabase_1512[[#This Row],[SAPSA Number]],#REF!,#REF!)</f>
        <v>#REF!</v>
      </c>
      <c r="I48" s="19" t="s">
        <v>237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3"/>
        <v>1</v>
      </c>
      <c r="B49" s="40">
        <v>3822</v>
      </c>
      <c r="C49" s="18" t="str">
        <f>_xlfn.XLOOKUP(__xlnm._FilterDatabase_1512[[#This Row],[SAPSA Number]],Table1[SAPSA number],Table1[Paid up])</f>
        <v>Y</v>
      </c>
      <c r="D49" s="39" t="str">
        <f>_xlfn.XLOOKUP(__xlnm._FilterDatabase_1512[[#This Row],[SAPSA Number]],Table1[SAPSA number],Table1[Name])</f>
        <v>Wayne Erald</v>
      </c>
      <c r="E49" s="39" t="str">
        <f>_xlfn.XLOOKUP(__xlnm._FilterDatabase_1512[[#This Row],[SAPSA Number]],Table1[SAPSA number],Table1[Surname])</f>
        <v>Schmidt</v>
      </c>
      <c r="F49" s="28" t="str">
        <f>_xlfn.XLOOKUP(__xlnm._FilterDatabase_1512[[#This Row],[SAPSA Number]],Table1[SAPSA number],Table1[Initials])</f>
        <v>WE</v>
      </c>
      <c r="G49" s="17" t="str">
        <f ca="1">_xlfn.XLOOKUP(__xlnm._FilterDatabase_1512[[#This Row],[SAPSA Number]],Table1[SAPSA number],Table1[Gender])</f>
        <v>S</v>
      </c>
      <c r="H49" s="19" t="e">
        <f>_xlfn.XLOOKUP(__xlnm._FilterDatabase_1512[[#This Row],[SAPSA Number]],#REF!,#REF!)</f>
        <v>#REF!</v>
      </c>
      <c r="I49" s="19" t="s">
        <v>237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3"/>
        <v>1</v>
      </c>
      <c r="B50" s="26">
        <v>4966</v>
      </c>
      <c r="C50" s="18" t="str">
        <f>_xlfn.XLOOKUP(__xlnm._FilterDatabase_1512[[#This Row],[SAPSA Number]],Table1[SAPSA number],Table1[Paid up])</f>
        <v>Y</v>
      </c>
      <c r="D50" s="39" t="str">
        <f>_xlfn.XLOOKUP(__xlnm._FilterDatabase_1512[[#This Row],[SAPSA Number]],Table1[SAPSA number],Table1[Name])</f>
        <v>Costantinos</v>
      </c>
      <c r="E50" s="39" t="str">
        <f>_xlfn.XLOOKUP(__xlnm._FilterDatabase_1512[[#This Row],[SAPSA Number]],Table1[SAPSA number],Table1[Surname])</f>
        <v>Seindis</v>
      </c>
      <c r="F50" s="28" t="str">
        <f>_xlfn.XLOOKUP(__xlnm._FilterDatabase_1512[[#This Row],[SAPSA Number]],Table1[SAPSA number],Table1[Initials])</f>
        <v>C</v>
      </c>
      <c r="G50" s="17" t="str">
        <f ca="1">_xlfn.XLOOKUP(__xlnm._FilterDatabase_1512[[#This Row],[SAPSA Number]],Table1[SAPSA number],Table1[Gender])</f>
        <v xml:space="preserve"> </v>
      </c>
      <c r="H50" s="19" t="e">
        <f>_xlfn.XLOOKUP(__xlnm._FilterDatabase_1512[[#This Row],[SAPSA Number]],#REF!,#REF!)</f>
        <v>#REF!</v>
      </c>
      <c r="I50" s="19" t="s">
        <v>237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3"/>
        <v>1</v>
      </c>
      <c r="B51" s="26">
        <v>572</v>
      </c>
      <c r="C51" s="18" t="str">
        <f>_xlfn.XLOOKUP(__xlnm._FilterDatabase_1512[[#This Row],[SAPSA Number]],Table1[SAPSA number],Table1[Paid up])</f>
        <v>Y</v>
      </c>
      <c r="D51" s="39" t="str">
        <f>_xlfn.XLOOKUP(__xlnm._FilterDatabase_1512[[#This Row],[SAPSA Number]],Table1[SAPSA number],Table1[Name])</f>
        <v>DJ</v>
      </c>
      <c r="E51" s="39" t="str">
        <f>_xlfn.XLOOKUP(__xlnm._FilterDatabase_1512[[#This Row],[SAPSA Number]],Table1[SAPSA number],Table1[Surname])</f>
        <v>Smith</v>
      </c>
      <c r="F51" s="28" t="str">
        <f>_xlfn.XLOOKUP(__xlnm._FilterDatabase_1512[[#This Row],[SAPSA Number]],Table1[SAPSA number],Table1[Initials])</f>
        <v>DJ</v>
      </c>
      <c r="G51" s="17" t="str">
        <f ca="1">_xlfn.XLOOKUP(__xlnm._FilterDatabase_1512[[#This Row],[SAPSA Number]],Table1[SAPSA number],Table1[Gender])</f>
        <v>SS</v>
      </c>
      <c r="H51" s="19" t="e">
        <f>_xlfn.XLOOKUP(__xlnm._FilterDatabase_1512[[#This Row],[SAPSA Number]],#REF!,#REF!)</f>
        <v>#REF!</v>
      </c>
      <c r="I51" s="19" t="s">
        <v>237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3"/>
        <v>1</v>
      </c>
      <c r="B52" s="25">
        <v>1321</v>
      </c>
      <c r="C52" s="18">
        <f>_xlfn.XLOOKUP(__xlnm._FilterDatabase_1512[[#This Row],[SAPSA Number]],Table1[SAPSA number],Table1[Paid up])</f>
        <v>0</v>
      </c>
      <c r="D52" s="39" t="str">
        <f>_xlfn.XLOOKUP(__xlnm._FilterDatabase_1512[[#This Row],[SAPSA Number]],Table1[SAPSA number],Table1[Name])</f>
        <v>Neal Monisen</v>
      </c>
      <c r="E52" s="39" t="str">
        <f>_xlfn.XLOOKUP(__xlnm._FilterDatabase_1512[[#This Row],[SAPSA Number]],Table1[SAPSA number],Table1[Surname])</f>
        <v>Sokay</v>
      </c>
      <c r="F52" s="28" t="str">
        <f>_xlfn.XLOOKUP(__xlnm._FilterDatabase_1512[[#This Row],[SAPSA Number]],Table1[SAPSA number],Table1[Initials])</f>
        <v>NM</v>
      </c>
      <c r="G52" s="17" t="str">
        <f ca="1">_xlfn.XLOOKUP(__xlnm._FilterDatabase_1512[[#This Row],[SAPSA Number]],Table1[SAPSA number],Table1[Gender])</f>
        <v>S</v>
      </c>
      <c r="H52" s="19" t="e">
        <f>_xlfn.XLOOKUP(__xlnm._FilterDatabase_1512[[#This Row],[SAPSA Number]],#REF!,#REF!)</f>
        <v>#REF!</v>
      </c>
      <c r="I52" s="19" t="s">
        <v>237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3"/>
        <v>1</v>
      </c>
      <c r="B53" s="25">
        <v>3832</v>
      </c>
      <c r="C53" s="18" t="str">
        <f>_xlfn.XLOOKUP(__xlnm._FilterDatabase_1512[[#This Row],[SAPSA Number]],Table1[SAPSA number],Table1[Paid up])</f>
        <v>Y</v>
      </c>
      <c r="D53" s="39" t="str">
        <f>_xlfn.XLOOKUP(__xlnm._FilterDatabase_1512[[#This Row],[SAPSA Number]],Table1[SAPSA number],Table1[Name])</f>
        <v>Dion Rowlands</v>
      </c>
      <c r="E53" s="39" t="str">
        <f>_xlfn.XLOOKUP(__xlnm._FilterDatabase_1512[[#This Row],[SAPSA Number]],Table1[SAPSA number],Table1[Surname])</f>
        <v>Stead</v>
      </c>
      <c r="F53" s="28" t="str">
        <f>_xlfn.XLOOKUP(__xlnm._FilterDatabase_1512[[#This Row],[SAPSA Number]],Table1[SAPSA number],Table1[Initials])</f>
        <v>DR</v>
      </c>
      <c r="G53" s="17" t="str">
        <f ca="1">_xlfn.XLOOKUP(__xlnm._FilterDatabase_1512[[#This Row],[SAPSA Number]],Table1[SAPSA number],Table1[Gender])</f>
        <v>S</v>
      </c>
      <c r="H53" s="19" t="e">
        <f>_xlfn.XLOOKUP(__xlnm._FilterDatabase_1512[[#This Row],[SAPSA Number]],#REF!,#REF!)</f>
        <v>#REF!</v>
      </c>
      <c r="I53" s="19" t="s">
        <v>237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3"/>
        <v>1</v>
      </c>
      <c r="B54" s="26">
        <v>4858</v>
      </c>
      <c r="C54" s="18" t="str">
        <f>_xlfn.XLOOKUP(__xlnm._FilterDatabase_1512[[#This Row],[SAPSA Number]],Table1[SAPSA number],Table1[Paid up])</f>
        <v>Y</v>
      </c>
      <c r="D54" s="39" t="str">
        <f>_xlfn.XLOOKUP(__xlnm._FilterDatabase_1512[[#This Row],[SAPSA Number]],Table1[SAPSA number],Table1[Name])</f>
        <v>Jacques</v>
      </c>
      <c r="E54" s="39" t="str">
        <f>_xlfn.XLOOKUP(__xlnm._FilterDatabase_1512[[#This Row],[SAPSA Number]],Table1[SAPSA number],Table1[Surname])</f>
        <v>Swanepoel</v>
      </c>
      <c r="F54" s="28" t="str">
        <f>_xlfn.XLOOKUP(__xlnm._FilterDatabase_1512[[#This Row],[SAPSA Number]],Table1[SAPSA number],Table1[Initials])</f>
        <v>J</v>
      </c>
      <c r="G54" s="17" t="str">
        <f ca="1">_xlfn.XLOOKUP(__xlnm._FilterDatabase_1512[[#This Row],[SAPSA Number]],Table1[SAPSA number],Table1[Gender])</f>
        <v xml:space="preserve"> </v>
      </c>
      <c r="H54" s="19" t="e">
        <f>_xlfn.XLOOKUP(__xlnm._FilterDatabase_1512[[#This Row],[SAPSA Number]],#REF!,#REF!)</f>
        <v>#REF!</v>
      </c>
      <c r="I54" s="19" t="s">
        <v>237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3"/>
        <v>1</v>
      </c>
      <c r="B55" s="25">
        <v>1113</v>
      </c>
      <c r="C55" s="18" t="str">
        <f>_xlfn.XLOOKUP(__xlnm._FilterDatabase_1512[[#This Row],[SAPSA Number]],Table1[SAPSA number],Table1[Paid up])</f>
        <v>Y</v>
      </c>
      <c r="D55" s="39" t="str">
        <f>_xlfn.XLOOKUP(__xlnm._FilterDatabase_1512[[#This Row],[SAPSA Number]],Table1[SAPSA number],Table1[Name])</f>
        <v>Frik</v>
      </c>
      <c r="E55" s="39" t="str">
        <f>_xlfn.XLOOKUP(__xlnm._FilterDatabase_1512[[#This Row],[SAPSA Number]],Table1[SAPSA number],Table1[Surname])</f>
        <v>Truter</v>
      </c>
      <c r="F55" s="28" t="str">
        <f>_xlfn.XLOOKUP(__xlnm._FilterDatabase_1512[[#This Row],[SAPSA Number]],Table1[SAPSA number],Table1[Initials])</f>
        <v>FC</v>
      </c>
      <c r="G55" s="17" t="str">
        <f ca="1">_xlfn.XLOOKUP(__xlnm._FilterDatabase_1512[[#This Row],[SAPSA Number]],Table1[SAPSA number],Table1[Gender])</f>
        <v>SS</v>
      </c>
      <c r="H55" s="19" t="e">
        <f>_xlfn.XLOOKUP(__xlnm._FilterDatabase_1512[[#This Row],[SAPSA Number]],#REF!,#REF!)</f>
        <v>#REF!</v>
      </c>
      <c r="I55" s="19" t="s">
        <v>237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3"/>
        <v>1</v>
      </c>
      <c r="B56" s="25">
        <v>4672</v>
      </c>
      <c r="C56" s="18" t="str">
        <f>_xlfn.XLOOKUP(__xlnm._FilterDatabase_1512[[#This Row],[SAPSA Number]],Table1[SAPSA number],Table1[Paid up])</f>
        <v>Y</v>
      </c>
      <c r="D56" s="39" t="str">
        <f>_xlfn.XLOOKUP(__xlnm._FilterDatabase_1512[[#This Row],[SAPSA Number]],Table1[SAPSA number],Table1[Name])</f>
        <v>Frederick John</v>
      </c>
      <c r="E56" s="39" t="str">
        <f>_xlfn.XLOOKUP(__xlnm._FilterDatabase_1512[[#This Row],[SAPSA Number]],Table1[SAPSA number],Table1[Surname])</f>
        <v>Turnbull</v>
      </c>
      <c r="F56" s="28" t="str">
        <f>_xlfn.XLOOKUP(__xlnm._FilterDatabase_1512[[#This Row],[SAPSA Number]],Table1[SAPSA number],Table1[Initials])</f>
        <v>FJ</v>
      </c>
      <c r="G56" s="17" t="str">
        <f ca="1">_xlfn.XLOOKUP(__xlnm._FilterDatabase_1512[[#This Row],[SAPSA Number]],Table1[SAPSA number],Table1[Gender])</f>
        <v>SS</v>
      </c>
      <c r="H56" s="19" t="e">
        <f>_xlfn.XLOOKUP(__xlnm._FilterDatabase_1512[[#This Row],[SAPSA Number]],#REF!,#REF!)</f>
        <v>#REF!</v>
      </c>
      <c r="I56" s="19" t="s">
        <v>237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3"/>
        <v>1</v>
      </c>
      <c r="B57" s="25">
        <v>1931</v>
      </c>
      <c r="C57" s="18">
        <f>_xlfn.XLOOKUP(__xlnm._FilterDatabase_1512[[#This Row],[SAPSA Number]],Table1[SAPSA number],Table1[Paid up])</f>
        <v>0</v>
      </c>
      <c r="D57" s="39" t="str">
        <f>_xlfn.XLOOKUP(__xlnm._FilterDatabase_1512[[#This Row],[SAPSA Number]],Table1[SAPSA number],Table1[Name])</f>
        <v>Sylvia</v>
      </c>
      <c r="E57" s="39" t="str">
        <f>_xlfn.XLOOKUP(__xlnm._FilterDatabase_1512[[#This Row],[SAPSA Number]],Table1[SAPSA number],Table1[Surname])</f>
        <v>Van der Neut</v>
      </c>
      <c r="F57" s="28" t="str">
        <f>_xlfn.XLOOKUP(__xlnm._FilterDatabase_1512[[#This Row],[SAPSA Number]],Table1[SAPSA number],Table1[Initials])</f>
        <v>S</v>
      </c>
      <c r="G57" s="17" t="str">
        <f>_xlfn.XLOOKUP(__xlnm._FilterDatabase_1512[[#This Row],[SAPSA Number]],Table1[SAPSA number],Table1[Gender])</f>
        <v>Lady</v>
      </c>
      <c r="H57" s="19" t="e">
        <f>_xlfn.XLOOKUP(__xlnm._FilterDatabase_1512[[#This Row],[SAPSA Number]],#REF!,#REF!)</f>
        <v>#REF!</v>
      </c>
      <c r="I57" s="19" t="s">
        <v>237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25" customHeight="1" x14ac:dyDescent="0.3">
      <c r="A58" s="17">
        <f t="shared" si="3"/>
        <v>1</v>
      </c>
      <c r="B58" s="25">
        <v>5616</v>
      </c>
      <c r="C58" s="18">
        <f>_xlfn.XLOOKUP(__xlnm._FilterDatabase_1512[[#This Row],[SAPSA Number]],Table1[SAPSA number],Table1[Paid up])</f>
        <v>0</v>
      </c>
      <c r="D58" s="39" t="str">
        <f>_xlfn.XLOOKUP(__xlnm._FilterDatabase_1512[[#This Row],[SAPSA Number]],Table1[SAPSA number],Table1[Name])</f>
        <v>Cornelis Herman</v>
      </c>
      <c r="E58" s="39" t="str">
        <f>_xlfn.XLOOKUP(__xlnm._FilterDatabase_1512[[#This Row],[SAPSA Number]],Table1[SAPSA number],Table1[Surname])</f>
        <v>van Driel</v>
      </c>
      <c r="F58" s="28" t="str">
        <f>_xlfn.XLOOKUP(__xlnm._FilterDatabase_1512[[#This Row],[SAPSA Number]],Table1[SAPSA number],Table1[Initials])</f>
        <v>CH</v>
      </c>
      <c r="G58" s="17" t="str">
        <f ca="1">_xlfn.XLOOKUP(__xlnm._FilterDatabase_1512[[#This Row],[SAPSA Number]],Table1[SAPSA number],Table1[Gender])</f>
        <v xml:space="preserve"> </v>
      </c>
      <c r="H58" s="19" t="e">
        <f>_xlfn.XLOOKUP(__xlnm._FilterDatabase_1512[[#This Row],[SAPSA Number]],#REF!,#REF!)</f>
        <v>#REF!</v>
      </c>
      <c r="I58" s="19" t="s">
        <v>237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3"/>
        <v>1</v>
      </c>
      <c r="B59" s="40">
        <v>6564</v>
      </c>
      <c r="C59" s="18" t="str">
        <f>_xlfn.XLOOKUP(__xlnm._FilterDatabase_1512[[#This Row],[SAPSA Number]],Table1[SAPSA number],Table1[Paid up])</f>
        <v>Y</v>
      </c>
      <c r="D59" s="39" t="str">
        <f>_xlfn.XLOOKUP(__xlnm._FilterDatabase_1512[[#This Row],[SAPSA Number]],Table1[SAPSA number],Table1[Name])</f>
        <v>Kwimton Schalk</v>
      </c>
      <c r="E59" s="39" t="str">
        <f>_xlfn.XLOOKUP(__xlnm._FilterDatabase_1512[[#This Row],[SAPSA Number]],Table1[SAPSA number],Table1[Surname])</f>
        <v>van Jaarsveld</v>
      </c>
      <c r="F59" s="28" t="str">
        <f>_xlfn.XLOOKUP(__xlnm._FilterDatabase_1512[[#This Row],[SAPSA Number]],Table1[SAPSA number],Table1[Initials])</f>
        <v>KS</v>
      </c>
      <c r="G59" s="17" t="str">
        <f ca="1">_xlfn.XLOOKUP(__xlnm._FilterDatabase_1512[[#This Row],[SAPSA Number]],Table1[SAPSA number],Table1[Gender])</f>
        <v xml:space="preserve"> </v>
      </c>
      <c r="H59" s="19" t="e">
        <f>_xlfn.XLOOKUP(__xlnm._FilterDatabase_1512[[#This Row],[SAPSA Number]],#REF!,#REF!)</f>
        <v>#REF!</v>
      </c>
      <c r="I59" s="19" t="s">
        <v>237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3"/>
        <v>1</v>
      </c>
      <c r="B60" s="25">
        <v>5262</v>
      </c>
      <c r="C60" s="18" t="str">
        <f>_xlfn.XLOOKUP(__xlnm._FilterDatabase_1512[[#This Row],[SAPSA Number]],Table1[SAPSA number],Table1[Paid up])</f>
        <v>Y</v>
      </c>
      <c r="D60" s="39" t="str">
        <f>_xlfn.XLOOKUP(__xlnm._FilterDatabase_1512[[#This Row],[SAPSA Number]],Table1[SAPSA number],Table1[Name])</f>
        <v>Andre</v>
      </c>
      <c r="E60" s="39" t="str">
        <f>_xlfn.XLOOKUP(__xlnm._FilterDatabase_1512[[#This Row],[SAPSA Number]],Table1[SAPSA number],Table1[Surname])</f>
        <v>van Rooyen</v>
      </c>
      <c r="F60" s="28" t="str">
        <f>_xlfn.XLOOKUP(__xlnm._FilterDatabase_1512[[#This Row],[SAPSA Number]],Table1[SAPSA number],Table1[Initials])</f>
        <v>A</v>
      </c>
      <c r="G60" s="17" t="str">
        <f ca="1">_xlfn.XLOOKUP(__xlnm._FilterDatabase_1512[[#This Row],[SAPSA Number]],Table1[SAPSA number],Table1[Gender])</f>
        <v xml:space="preserve"> </v>
      </c>
      <c r="H60" s="19" t="e">
        <f>_xlfn.XLOOKUP(__xlnm._FilterDatabase_1512[[#This Row],[SAPSA Number]],#REF!,#REF!)</f>
        <v>#REF!</v>
      </c>
      <c r="I60" s="19" t="s">
        <v>237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3"/>
        <v>1</v>
      </c>
      <c r="B61" s="25">
        <v>5971</v>
      </c>
      <c r="C61" s="18">
        <f>_xlfn.XLOOKUP(__xlnm._FilterDatabase_1512[[#This Row],[SAPSA Number]],Table1[SAPSA number],Table1[Paid up])</f>
        <v>0</v>
      </c>
      <c r="D61" s="39" t="str">
        <f>_xlfn.XLOOKUP(__xlnm._FilterDatabase_1512[[#This Row],[SAPSA Number]],Table1[SAPSA number],Table1[Name])</f>
        <v>Hendrik</v>
      </c>
      <c r="E61" s="39" t="str">
        <f>_xlfn.XLOOKUP(__xlnm._FilterDatabase_1512[[#This Row],[SAPSA Number]],Table1[SAPSA number],Table1[Surname])</f>
        <v>van Rooyen</v>
      </c>
      <c r="F61" s="28" t="str">
        <f>_xlfn.XLOOKUP(__xlnm._FilterDatabase_1512[[#This Row],[SAPSA Number]],Table1[SAPSA number],Table1[Initials])</f>
        <v>H</v>
      </c>
      <c r="G61" s="17" t="str">
        <f ca="1">_xlfn.XLOOKUP(__xlnm._FilterDatabase_1512[[#This Row],[SAPSA Number]],Table1[SAPSA number],Table1[Gender])</f>
        <v>S</v>
      </c>
      <c r="H61" s="19" t="e">
        <f>_xlfn.XLOOKUP(__xlnm._FilterDatabase_1512[[#This Row],[SAPSA Number]],#REF!,#REF!)</f>
        <v>#REF!</v>
      </c>
      <c r="I61" s="19" t="s">
        <v>237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3"/>
        <v>1</v>
      </c>
      <c r="B62" s="25">
        <v>2051</v>
      </c>
      <c r="C62" s="18" t="str">
        <f>_xlfn.XLOOKUP(__xlnm._FilterDatabase_1512[[#This Row],[SAPSA Number]],Table1[SAPSA number],Table1[Paid up])</f>
        <v>Y</v>
      </c>
      <c r="D62" s="39" t="str">
        <f>_xlfn.XLOOKUP(__xlnm._FilterDatabase_1512[[#This Row],[SAPSA Number]],Table1[SAPSA number],Table1[Name])</f>
        <v>Simon Adriaan</v>
      </c>
      <c r="E62" s="39" t="str">
        <f>_xlfn.XLOOKUP(__xlnm._FilterDatabase_1512[[#This Row],[SAPSA Number]],Table1[SAPSA number],Table1[Surname])</f>
        <v>Vermooten</v>
      </c>
      <c r="F62" s="28" t="str">
        <f>_xlfn.XLOOKUP(__xlnm._FilterDatabase_1512[[#This Row],[SAPSA Number]],Table1[SAPSA number],Table1[Initials])</f>
        <v>SA</v>
      </c>
      <c r="G62" s="17" t="str">
        <f ca="1">_xlfn.XLOOKUP(__xlnm._FilterDatabase_1512[[#This Row],[SAPSA Number]],Table1[SAPSA number],Table1[Gender])</f>
        <v>GS</v>
      </c>
      <c r="H62" s="19" t="e">
        <f>_xlfn.XLOOKUP(__xlnm._FilterDatabase_1512[[#This Row],[SAPSA Number]],#REF!,#REF!)</f>
        <v>#REF!</v>
      </c>
      <c r="I62" s="19" t="s">
        <v>237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3"/>
        <v>1</v>
      </c>
      <c r="B63" s="25">
        <v>2051</v>
      </c>
      <c r="C63" s="18" t="str">
        <f>_xlfn.XLOOKUP(__xlnm._FilterDatabase_1512[[#This Row],[SAPSA Number]],Table1[SAPSA number],Table1[Paid up])</f>
        <v>Y</v>
      </c>
      <c r="D63" s="39" t="str">
        <f>_xlfn.XLOOKUP(__xlnm._FilterDatabase_1512[[#This Row],[SAPSA Number]],Table1[SAPSA number],Table1[Name])</f>
        <v>Simon Adriaan</v>
      </c>
      <c r="E63" s="39" t="str">
        <f>_xlfn.XLOOKUP(__xlnm._FilterDatabase_1512[[#This Row],[SAPSA Number]],Table1[SAPSA number],Table1[Surname])</f>
        <v>Vermooten</v>
      </c>
      <c r="F63" s="28" t="str">
        <f>_xlfn.XLOOKUP(__xlnm._FilterDatabase_1512[[#This Row],[SAPSA Number]],Table1[SAPSA number],Table1[Initials])</f>
        <v>SA</v>
      </c>
      <c r="G63" s="17" t="str">
        <f ca="1">_xlfn.XLOOKUP(__xlnm._FilterDatabase_1512[[#This Row],[SAPSA Number]],Table1[SAPSA number],Table1[Gender])</f>
        <v>GS</v>
      </c>
      <c r="H63" s="19" t="e">
        <f>_xlfn.XLOOKUP(__xlnm._FilterDatabase_1512[[#This Row],[SAPSA Number]],#REF!,#REF!)</f>
        <v>#REF!</v>
      </c>
      <c r="I63" s="19" t="s">
        <v>237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 t="shared" si="3"/>
        <v>1</v>
      </c>
      <c r="B64" s="25">
        <v>2089</v>
      </c>
      <c r="C64" s="18" t="str">
        <f>_xlfn.XLOOKUP(__xlnm._FilterDatabase_1512[[#This Row],[SAPSA Number]],Table1[SAPSA number],Table1[Paid up])</f>
        <v>Y</v>
      </c>
      <c r="D64" s="39" t="str">
        <f>_xlfn.XLOOKUP(__xlnm._FilterDatabase_1512[[#This Row],[SAPSA Number]],Table1[SAPSA number],Table1[Name])</f>
        <v>Doané</v>
      </c>
      <c r="E64" s="39" t="str">
        <f>_xlfn.XLOOKUP(__xlnm._FilterDatabase_1512[[#This Row],[SAPSA Number]],Table1[SAPSA number],Table1[Surname])</f>
        <v>Vermooten</v>
      </c>
      <c r="F64" s="28" t="str">
        <f>_xlfn.XLOOKUP(__xlnm._FilterDatabase_1512[[#This Row],[SAPSA Number]],Table1[SAPSA number],Table1[Initials])</f>
        <v>D</v>
      </c>
      <c r="G64" s="17" t="str">
        <f ca="1">_xlfn.XLOOKUP(__xlnm._FilterDatabase_1512[[#This Row],[SAPSA Number]],Table1[SAPSA number],Table1[Gender])</f>
        <v xml:space="preserve"> </v>
      </c>
      <c r="H64" s="19" t="e">
        <f>_xlfn.XLOOKUP(__xlnm._FilterDatabase_1512[[#This Row],[SAPSA Number]],#REF!,#REF!)</f>
        <v>#REF!</v>
      </c>
      <c r="I64" s="19" t="s">
        <v>237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 t="shared" si="3"/>
        <v>1</v>
      </c>
      <c r="B65" s="25">
        <v>2089</v>
      </c>
      <c r="C65" s="18" t="str">
        <f>_xlfn.XLOOKUP(__xlnm._FilterDatabase_1512[[#This Row],[SAPSA Number]],Table1[SAPSA number],Table1[Paid up])</f>
        <v>Y</v>
      </c>
      <c r="D65" s="39" t="str">
        <f>_xlfn.XLOOKUP(__xlnm._FilterDatabase_1512[[#This Row],[SAPSA Number]],Table1[SAPSA number],Table1[Name])</f>
        <v>Doané</v>
      </c>
      <c r="E65" s="39" t="str">
        <f>_xlfn.XLOOKUP(__xlnm._FilterDatabase_1512[[#This Row],[SAPSA Number]],Table1[SAPSA number],Table1[Surname])</f>
        <v>Vermooten</v>
      </c>
      <c r="F65" s="28" t="str">
        <f>_xlfn.XLOOKUP(__xlnm._FilterDatabase_1512[[#This Row],[SAPSA Number]],Table1[SAPSA number],Table1[Initials])</f>
        <v>D</v>
      </c>
      <c r="G65" s="17" t="str">
        <f ca="1">_xlfn.XLOOKUP(__xlnm._FilterDatabase_1512[[#This Row],[SAPSA Number]],Table1[SAPSA number],Table1[Gender])</f>
        <v xml:space="preserve"> </v>
      </c>
      <c r="H65" s="19" t="e">
        <f>_xlfn.XLOOKUP(__xlnm._FilterDatabase_1512[[#This Row],[SAPSA Number]],#REF!,#REF!)</f>
        <v>#REF!</v>
      </c>
      <c r="I65" s="19" t="s">
        <v>237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 t="shared" si="3"/>
        <v>1</v>
      </c>
      <c r="B66" s="40">
        <v>896</v>
      </c>
      <c r="C66" s="18" t="str">
        <f>_xlfn.XLOOKUP(__xlnm._FilterDatabase_1512[[#This Row],[SAPSA Number]],Table1[SAPSA number],Table1[Paid up])</f>
        <v>Y</v>
      </c>
      <c r="D66" s="39" t="str">
        <f>_xlfn.XLOOKUP(__xlnm._FilterDatabase_1512[[#This Row],[SAPSA Number]],Table1[SAPSA number],Table1[Name])</f>
        <v>Johannes Francois</v>
      </c>
      <c r="E66" s="39" t="str">
        <f>_xlfn.XLOOKUP(__xlnm._FilterDatabase_1512[[#This Row],[SAPSA Number]],Table1[SAPSA number],Table1[Surname])</f>
        <v>Wheeler</v>
      </c>
      <c r="F66" s="28" t="str">
        <f>_xlfn.XLOOKUP(__xlnm._FilterDatabase_1512[[#This Row],[SAPSA Number]],Table1[SAPSA number],Table1[Initials])</f>
        <v>JF</v>
      </c>
      <c r="G66" s="17" t="str">
        <f ca="1">_xlfn.XLOOKUP(__xlnm._FilterDatabase_1512[[#This Row],[SAPSA Number]],Table1[SAPSA number],Table1[Gender])</f>
        <v xml:space="preserve"> </v>
      </c>
      <c r="H66" s="19" t="e">
        <f>_xlfn.XLOOKUP(__xlnm._FilterDatabase_1512[[#This Row],[SAPSA Number]],#REF!,#REF!)</f>
        <v>#REF!</v>
      </c>
      <c r="I66" s="19" t="s">
        <v>237</v>
      </c>
      <c r="J66" s="21">
        <f t="shared" si="4"/>
        <v>0</v>
      </c>
      <c r="K66" s="22">
        <f t="shared" ref="K66:K68" si="6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>
        <f t="shared" si="3"/>
        <v>1</v>
      </c>
      <c r="B67" s="25">
        <v>1716</v>
      </c>
      <c r="C67" s="18" t="str">
        <f>_xlfn.XLOOKUP(__xlnm._FilterDatabase_1512[[#This Row],[SAPSA Number]],Table1[SAPSA number],Table1[Paid up])</f>
        <v>Y</v>
      </c>
      <c r="D67" s="39" t="str">
        <f>_xlfn.XLOOKUP(__xlnm._FilterDatabase_1512[[#This Row],[SAPSA Number]],Table1[SAPSA number],Table1[Name])</f>
        <v>Albert</v>
      </c>
      <c r="E67" s="39" t="str">
        <f>_xlfn.XLOOKUP(__xlnm._FilterDatabase_1512[[#This Row],[SAPSA Number]],Table1[SAPSA number],Table1[Surname])</f>
        <v>Wöcke</v>
      </c>
      <c r="F67" s="28" t="str">
        <f>_xlfn.XLOOKUP(__xlnm._FilterDatabase_1512[[#This Row],[SAPSA Number]],Table1[SAPSA number],Table1[Initials])</f>
        <v>A</v>
      </c>
      <c r="G67" s="17" t="str">
        <f ca="1">_xlfn.XLOOKUP(__xlnm._FilterDatabase_1512[[#This Row],[SAPSA Number]],Table1[SAPSA number],Table1[Gender])</f>
        <v>S</v>
      </c>
      <c r="H67" s="19" t="e">
        <f>_xlfn.XLOOKUP(__xlnm._FilterDatabase_1512[[#This Row],[SAPSA Number]],#REF!,#REF!)</f>
        <v>#REF!</v>
      </c>
      <c r="I67" s="19" t="s">
        <v>237</v>
      </c>
      <c r="J67" s="21">
        <f t="shared" si="4"/>
        <v>0</v>
      </c>
      <c r="K67" s="22">
        <f t="shared" si="6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>
        <f t="shared" si="3"/>
        <v>1</v>
      </c>
      <c r="B68" s="25">
        <v>206</v>
      </c>
      <c r="C68" s="18">
        <f>_xlfn.XLOOKUP(__xlnm._FilterDatabase_1512[[#This Row],[SAPSA Number]],Table1[SAPSA number],Table1[Paid up])</f>
        <v>0</v>
      </c>
      <c r="D68" s="39" t="str">
        <f>_xlfn.XLOOKUP(__xlnm._FilterDatabase_1512[[#This Row],[SAPSA Number]],Table1[SAPSA number],Table1[Name])</f>
        <v>Pierre Dewald</v>
      </c>
      <c r="E68" s="39" t="str">
        <f>_xlfn.XLOOKUP(__xlnm._FilterDatabase_1512[[#This Row],[SAPSA Number]],Table1[SAPSA number],Table1[Surname])</f>
        <v>Wrogemann</v>
      </c>
      <c r="F68" s="28" t="str">
        <f>_xlfn.XLOOKUP(__xlnm._FilterDatabase_1512[[#This Row],[SAPSA Number]],Table1[SAPSA number],Table1[Initials])</f>
        <v>PD</v>
      </c>
      <c r="G68" s="17" t="str">
        <f ca="1">_xlfn.XLOOKUP(__xlnm._FilterDatabase_1512[[#This Row],[SAPSA Number]],Table1[SAPSA number],Table1[Gender])</f>
        <v>S</v>
      </c>
      <c r="H68" s="19" t="e">
        <f>_xlfn.XLOOKUP(__xlnm._FilterDatabase_1512[[#This Row],[SAPSA Number]],#REF!,#REF!)</f>
        <v>#REF!</v>
      </c>
      <c r="I68" s="19" t="s">
        <v>237</v>
      </c>
      <c r="J68" s="21">
        <f t="shared" si="4"/>
        <v>0</v>
      </c>
      <c r="K68" s="22">
        <f t="shared" si="6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>
        <f t="shared" ref="A69:A71" si="7">RANK(K69,K$2:K$147,0)</f>
        <v>1</v>
      </c>
      <c r="B69" s="25">
        <v>3810</v>
      </c>
      <c r="C69" s="18">
        <f>_xlfn.XLOOKUP(__xlnm._FilterDatabase_1512[[#This Row],[SAPSA Number]],Table1[SAPSA number],Table1[Paid up])</f>
        <v>0</v>
      </c>
      <c r="D69" s="39" t="str">
        <f>_xlfn.XLOOKUP(__xlnm._FilterDatabase_1512[[#This Row],[SAPSA Number]],Table1[SAPSA number],Table1[Name])</f>
        <v>Roelof</v>
      </c>
      <c r="E69" s="39" t="str">
        <f>_xlfn.XLOOKUP(__xlnm._FilterDatabase_1512[[#This Row],[SAPSA Number]],Table1[SAPSA number],Table1[Surname])</f>
        <v>Liebenberg</v>
      </c>
      <c r="F69" s="28" t="str">
        <f>_xlfn.XLOOKUP(__xlnm._FilterDatabase_1512[[#This Row],[SAPSA Number]],Table1[SAPSA number],Table1[Initials])</f>
        <v>R</v>
      </c>
      <c r="G69" s="17" t="str">
        <f ca="1">_xlfn.XLOOKUP(__xlnm._FilterDatabase_1512[[#This Row],[SAPSA Number]],Table1[SAPSA number],Table1[Gender])</f>
        <v>S</v>
      </c>
      <c r="H69" s="19" t="e">
        <f>_xlfn.XLOOKUP(__xlnm._FilterDatabase_1512[[#This Row],[SAPSA Number]],#REF!,#REF!)</f>
        <v>#REF!</v>
      </c>
      <c r="I69" s="19" t="s">
        <v>237</v>
      </c>
      <c r="J69" s="21">
        <f t="shared" ref="J69" si="8">(IF(L69&gt;0,1,0)+(IF(M69&gt;0,1,0))+(IF(N69&gt;0,1,0))+(IF(O69&gt;0,1,0))+(IF(P69&gt;0,1,0))+(IF(Q69&gt;0,1,0))+(IF(R69&gt;0,1,0))+(IF(S69&gt;0,1,0))+(IF(T69&gt;0,1,0))+(IF(U69&gt;0,1,0))+(IF(V69&gt;0,1,0))+(IF(W69&gt;0,1,0)))</f>
        <v>0</v>
      </c>
      <c r="K69" s="22">
        <f t="shared" ref="K69" si="9">(LARGE(L69:U69,1)+LARGE(L69:U69,2)+LARGE(L69:U69,3)+LARGE(L69:U69,4)+LARGE(L69:U69,5))/5</f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si="7"/>
        <v>1</v>
      </c>
      <c r="B70" s="25">
        <v>401</v>
      </c>
      <c r="C70" s="18"/>
      <c r="D70" s="39" t="str">
        <f>_xlfn.XLOOKUP(__xlnm._FilterDatabase_1512[[#This Row],[SAPSA Number]],Table1[SAPSA number],Table1[Name])</f>
        <v>Sebella</v>
      </c>
      <c r="E70" s="39" t="str">
        <f>_xlfn.XLOOKUP(__xlnm._FilterDatabase_1512[[#This Row],[SAPSA Number]],Table1[SAPSA number],Table1[Surname])</f>
        <v>O'Donovan</v>
      </c>
      <c r="F70" s="28" t="str">
        <f>_xlfn.XLOOKUP(__xlnm._FilterDatabase_1512[[#This Row],[SAPSA Number]],Table1[SAPSA number],Table1[Initials])</f>
        <v>S</v>
      </c>
      <c r="G70" s="17" t="str">
        <f>_xlfn.XLOOKUP(__xlnm._FilterDatabase_1512[[#This Row],[SAPSA Number]],Table1[SAPSA number],Table1[Gender])</f>
        <v>Lady</v>
      </c>
      <c r="H70" s="19" t="e">
        <f>_xlfn.XLOOKUP(__xlnm._FilterDatabase_1512[[#This Row],[SAPSA Number]],#REF!,#REF!)</f>
        <v>#REF!</v>
      </c>
      <c r="I70" s="19" t="s">
        <v>237</v>
      </c>
      <c r="J70" s="21">
        <f t="shared" ref="J70:J71" si="10"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 t="shared" ref="K70:K71" si="11">(LARGE(L70:U70,1)+LARGE(L70:U70,2)+LARGE(L70:U70,3)+LARGE(L70:U70,4)+LARGE(L70:U70,5))/5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>
        <f t="shared" si="7"/>
        <v>1</v>
      </c>
      <c r="B71" s="18">
        <v>1547</v>
      </c>
      <c r="C71" s="18"/>
      <c r="D71" s="39" t="str">
        <f>_xlfn.XLOOKUP(__xlnm._FilterDatabase_1512[[#This Row],[SAPSA Number]],Table1[SAPSA number],Table1[Name])</f>
        <v>Marius Frans</v>
      </c>
      <c r="E71" s="39" t="str">
        <f>_xlfn.XLOOKUP(__xlnm._FilterDatabase_1512[[#This Row],[SAPSA Number]],Table1[SAPSA number],Table1[Surname])</f>
        <v>van Biljon</v>
      </c>
      <c r="F71" s="28" t="str">
        <f>_xlfn.XLOOKUP(__xlnm._FilterDatabase_1512[[#This Row],[SAPSA Number]],Table1[SAPSA number],Table1[Initials])</f>
        <v>MF</v>
      </c>
      <c r="G71" s="17" t="str">
        <f ca="1">_xlfn.XLOOKUP(__xlnm._FilterDatabase_1512[[#This Row],[SAPSA Number]],Table1[SAPSA number],Table1[Gender])</f>
        <v>S</v>
      </c>
      <c r="H71" s="19" t="e">
        <f>_xlfn.XLOOKUP(__xlnm._FilterDatabase_1512[[#This Row],[SAPSA Number]],#REF!,#REF!)</f>
        <v>#REF!</v>
      </c>
      <c r="I71" s="19" t="s">
        <v>237</v>
      </c>
      <c r="J71" s="21">
        <f t="shared" si="10"/>
        <v>0</v>
      </c>
      <c r="K71" s="22">
        <f t="shared" si="11"/>
        <v>0</v>
      </c>
      <c r="L71" s="23">
        <v>0</v>
      </c>
      <c r="M71" s="24">
        <v>0</v>
      </c>
      <c r="N71" s="23">
        <v>0</v>
      </c>
      <c r="O71" s="24">
        <v>0</v>
      </c>
      <c r="P71" s="23">
        <v>0</v>
      </c>
      <c r="Q71" s="24">
        <v>0</v>
      </c>
      <c r="R71" s="23">
        <v>0</v>
      </c>
      <c r="S71" s="24">
        <v>0</v>
      </c>
      <c r="T71" s="23">
        <v>0</v>
      </c>
      <c r="U71" s="24">
        <v>0</v>
      </c>
      <c r="V71" s="23">
        <v>0</v>
      </c>
      <c r="W71" s="24">
        <v>0</v>
      </c>
    </row>
    <row r="72" spans="1:23" x14ac:dyDescent="0.3">
      <c r="A72" s="17">
        <f t="shared" ref="A72" si="12">RANK(K72,K$2:K$147,0)</f>
        <v>1</v>
      </c>
      <c r="B72" s="18">
        <v>3837</v>
      </c>
      <c r="C72" s="18"/>
      <c r="D72" s="39" t="str">
        <f>_xlfn.XLOOKUP(__xlnm._FilterDatabase_1512[[#This Row],[SAPSA Number]],Table1[SAPSA number],Table1[Name])</f>
        <v>Daneel</v>
      </c>
      <c r="E72" s="39" t="str">
        <f>_xlfn.XLOOKUP(__xlnm._FilterDatabase_1512[[#This Row],[SAPSA Number]],Table1[SAPSA number],Table1[Surname])</f>
        <v>van eck</v>
      </c>
      <c r="F72" s="28" t="str">
        <f>_xlfn.XLOOKUP(__xlnm._FilterDatabase_1512[[#This Row],[SAPSA Number]],Table1[SAPSA number],Table1[Initials])</f>
        <v>DJ</v>
      </c>
      <c r="G72" s="17" t="str">
        <f ca="1">_xlfn.XLOOKUP(__xlnm._FilterDatabase_1512[[#This Row],[SAPSA Number]],Table1[SAPSA number],Table1[Gender])</f>
        <v xml:space="preserve"> </v>
      </c>
      <c r="H72" s="19" t="e">
        <f>_xlfn.XLOOKUP(__xlnm._FilterDatabase_1512[[#This Row],[SAPSA Number]],#REF!,#REF!)</f>
        <v>#REF!</v>
      </c>
      <c r="I72" s="19" t="s">
        <v>237</v>
      </c>
      <c r="J72" s="21">
        <f t="shared" ref="J72" si="13">(IF(L72&gt;0,1,0)+(IF(M72&gt;0,1,0))+(IF(N72&gt;0,1,0))+(IF(O72&gt;0,1,0))+(IF(P72&gt;0,1,0))+(IF(Q72&gt;0,1,0))+(IF(R72&gt;0,1,0))+(IF(S72&gt;0,1,0))+(IF(T72&gt;0,1,0))+(IF(U72&gt;0,1,0))+(IF(V72&gt;0,1,0))+(IF(W72&gt;0,1,0)))</f>
        <v>0</v>
      </c>
      <c r="K72" s="22">
        <f t="shared" ref="K72" si="14">(LARGE(L72:U72,1)+LARGE(L72:U72,2)+LARGE(L72:U72,3)+LARGE(L72:U72,4)+LARGE(L72:U72,5))/5</f>
        <v>0</v>
      </c>
      <c r="L72" s="23">
        <v>0</v>
      </c>
      <c r="M72" s="24">
        <v>0</v>
      </c>
      <c r="N72" s="23">
        <v>0</v>
      </c>
      <c r="O72" s="24">
        <v>0</v>
      </c>
      <c r="P72" s="23">
        <v>0</v>
      </c>
      <c r="Q72" s="24">
        <v>0</v>
      </c>
      <c r="R72" s="23">
        <v>0</v>
      </c>
      <c r="S72" s="24">
        <v>0</v>
      </c>
      <c r="T72" s="23">
        <v>0</v>
      </c>
      <c r="U72" s="24">
        <v>0</v>
      </c>
      <c r="V72" s="23">
        <v>0</v>
      </c>
      <c r="W72" s="24">
        <v>0</v>
      </c>
    </row>
    <row r="73" spans="1:23" x14ac:dyDescent="0.3">
      <c r="A73" s="17"/>
      <c r="B73" s="40"/>
      <c r="C73" s="18"/>
      <c r="D73" s="39"/>
      <c r="E73" s="39"/>
      <c r="F73" s="28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17"/>
      <c r="B74" s="26"/>
      <c r="C74" s="18"/>
      <c r="D74" s="39"/>
      <c r="E74" s="39"/>
      <c r="F74" s="28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17"/>
      <c r="B75" s="26"/>
      <c r="C75" s="18"/>
      <c r="D75" s="39"/>
      <c r="E75" s="39"/>
      <c r="F75" s="28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17"/>
      <c r="B76" s="26"/>
      <c r="C76" s="18"/>
      <c r="D76" s="39"/>
      <c r="E76" s="39"/>
      <c r="F76" s="28"/>
      <c r="G76" s="17"/>
      <c r="H76" s="19"/>
      <c r="I76" s="19"/>
      <c r="J76" s="21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x14ac:dyDescent="0.3">
      <c r="A77" s="17"/>
      <c r="B77" s="26"/>
      <c r="C77" s="18"/>
      <c r="D77" s="39"/>
      <c r="E77" s="39"/>
      <c r="F77" s="28"/>
      <c r="G77" s="17"/>
      <c r="H77" s="19"/>
      <c r="I77" s="19"/>
      <c r="J77" s="21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x14ac:dyDescent="0.3">
      <c r="A78" s="17"/>
      <c r="B78" s="27"/>
      <c r="C78" s="18"/>
      <c r="D78" s="39"/>
      <c r="E78" s="39"/>
      <c r="F78" s="28"/>
      <c r="G78" s="17"/>
      <c r="H78" s="19"/>
      <c r="I78" s="19"/>
      <c r="J78" s="21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x14ac:dyDescent="0.3">
      <c r="A79" s="17"/>
      <c r="B79" s="26"/>
      <c r="C79" s="18"/>
      <c r="D79" s="39"/>
      <c r="E79" s="39"/>
      <c r="F79" s="28"/>
      <c r="G79" s="17"/>
      <c r="H79" s="19"/>
      <c r="I79" s="19"/>
      <c r="J79" s="21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17"/>
      <c r="B80" s="26"/>
      <c r="C80" s="18"/>
      <c r="D80" s="39"/>
      <c r="E80" s="39"/>
      <c r="F80" s="28"/>
      <c r="G80" s="17"/>
      <c r="H80" s="19"/>
      <c r="I80" s="19"/>
      <c r="J80" s="21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x14ac:dyDescent="0.3">
      <c r="A81" s="17"/>
      <c r="B81" s="39"/>
      <c r="C81" s="18"/>
      <c r="D81" s="39"/>
      <c r="E81" s="39"/>
      <c r="F81" s="28"/>
      <c r="G81" s="17"/>
      <c r="H81" s="19"/>
      <c r="I81" s="19"/>
      <c r="J81" s="21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17"/>
      <c r="B82" s="26"/>
      <c r="C82" s="18"/>
      <c r="D82" s="39"/>
      <c r="E82" s="39"/>
      <c r="F82" s="28"/>
      <c r="G82" s="17"/>
      <c r="H82" s="19"/>
      <c r="I82" s="19"/>
      <c r="J82" s="21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17"/>
      <c r="B83" s="27"/>
      <c r="C83" s="18"/>
      <c r="D83" s="39"/>
      <c r="E83" s="39"/>
      <c r="F83" s="28"/>
      <c r="G83" s="17"/>
      <c r="H83" s="19"/>
      <c r="I83" s="19"/>
      <c r="J83" s="21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17"/>
      <c r="B84" s="39"/>
      <c r="C84" s="18"/>
      <c r="D84" s="39"/>
      <c r="E84" s="39"/>
      <c r="F84" s="28"/>
      <c r="G84" s="17"/>
      <c r="H84" s="19"/>
      <c r="I84" s="19"/>
      <c r="J84" s="21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17"/>
      <c r="B85" s="25"/>
      <c r="C85" s="18"/>
      <c r="D85" s="39"/>
      <c r="E85" s="39"/>
      <c r="F85" s="28"/>
      <c r="G85" s="17"/>
      <c r="H85" s="19"/>
      <c r="I85" s="19"/>
      <c r="J85" s="21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17"/>
      <c r="B86" s="40"/>
      <c r="C86" s="18"/>
      <c r="D86" s="39"/>
      <c r="E86" s="39"/>
      <c r="F86" s="28"/>
      <c r="G86" s="17"/>
      <c r="H86" s="19"/>
      <c r="I86" s="19"/>
      <c r="J86" s="21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17"/>
      <c r="B87" s="30"/>
      <c r="C87" s="18"/>
      <c r="D87" s="39"/>
      <c r="E87" s="39"/>
      <c r="F87" s="28"/>
      <c r="G87" s="17"/>
      <c r="H87" s="19"/>
      <c r="I87" s="19"/>
      <c r="J87" s="21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17"/>
      <c r="B88" s="26"/>
      <c r="C88" s="18"/>
      <c r="D88" s="39"/>
      <c r="E88" s="39"/>
      <c r="F88" s="28"/>
      <c r="G88" s="17"/>
      <c r="H88" s="19"/>
      <c r="I88" s="19"/>
      <c r="J88" s="21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1"/>
      <c r="B89" s="32"/>
      <c r="C89" s="18"/>
      <c r="D89" s="39"/>
      <c r="E89" s="39"/>
      <c r="F89" s="28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1"/>
      <c r="B90" s="32"/>
      <c r="C90" s="18"/>
      <c r="D90" s="39"/>
      <c r="E90" s="39"/>
      <c r="F90" s="28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1"/>
      <c r="B91" s="32"/>
      <c r="C91" s="18"/>
      <c r="D91" s="39"/>
      <c r="E91" s="39"/>
      <c r="F91" s="28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1"/>
      <c r="B92" s="32"/>
      <c r="C92" s="18"/>
      <c r="D92" s="39"/>
      <c r="E92" s="39"/>
      <c r="F92" s="28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31"/>
      <c r="B93" s="32"/>
      <c r="C93" s="18"/>
      <c r="D93" s="39"/>
      <c r="E93" s="39"/>
      <c r="F93" s="28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1"/>
      <c r="B94" s="32"/>
      <c r="C94" s="18"/>
      <c r="D94" s="39"/>
      <c r="E94" s="39"/>
      <c r="F94" s="28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5"/>
      <c r="B95" s="41"/>
      <c r="C95" s="18"/>
      <c r="D95" s="39"/>
      <c r="E95" s="39"/>
      <c r="F95" s="28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5"/>
      <c r="B96" s="42"/>
      <c r="C96" s="18"/>
      <c r="D96" s="39"/>
      <c r="E96" s="39"/>
      <c r="F96" s="28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5"/>
      <c r="B97" s="32"/>
      <c r="C97" s="18"/>
      <c r="D97" s="39"/>
      <c r="E97" s="39"/>
      <c r="F97" s="28"/>
      <c r="G97" s="17"/>
      <c r="H97" s="19"/>
      <c r="I97" s="19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5"/>
      <c r="B98" s="41"/>
      <c r="C98" s="18"/>
      <c r="D98" s="39"/>
      <c r="E98" s="39"/>
      <c r="F98" s="28"/>
      <c r="G98" s="17"/>
      <c r="H98" s="19"/>
      <c r="I98" s="19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5"/>
      <c r="B99" s="32"/>
      <c r="C99" s="18"/>
      <c r="D99" s="39"/>
      <c r="E99" s="39"/>
      <c r="F99" s="28"/>
      <c r="G99" s="17"/>
      <c r="H99" s="19"/>
      <c r="I99" s="19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35"/>
      <c r="B100" s="32"/>
      <c r="C100" s="18"/>
      <c r="D100" s="39"/>
      <c r="E100" s="39"/>
      <c r="F100" s="28"/>
      <c r="G100" s="17"/>
      <c r="H100" s="19"/>
      <c r="I100" s="19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35"/>
      <c r="B101" s="32"/>
      <c r="C101" s="18"/>
      <c r="D101" s="39"/>
      <c r="E101" s="39"/>
      <c r="F101" s="28"/>
      <c r="G101" s="17"/>
      <c r="H101" s="19"/>
      <c r="I101" s="19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5"/>
      <c r="B102" s="41"/>
      <c r="C102" s="18"/>
      <c r="D102" s="39"/>
      <c r="E102" s="39"/>
      <c r="F102" s="28"/>
      <c r="G102" s="17"/>
      <c r="H102" s="19"/>
      <c r="I102" s="19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31"/>
      <c r="B103" s="32"/>
      <c r="C103" s="18"/>
      <c r="D103" s="39"/>
      <c r="E103" s="39"/>
      <c r="F103" s="28"/>
      <c r="G103" s="17"/>
      <c r="H103" s="19"/>
      <c r="I103" s="19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32"/>
      <c r="C104" s="18"/>
      <c r="D104" s="39"/>
      <c r="E104" s="39"/>
      <c r="F104" s="28"/>
      <c r="G104" s="17"/>
      <c r="H104" s="19"/>
      <c r="I104" s="19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x14ac:dyDescent="0.3">
      <c r="A105" s="31"/>
      <c r="B105" s="43"/>
      <c r="C105" s="18"/>
      <c r="D105" s="39"/>
      <c r="E105" s="39"/>
      <c r="F105" s="28"/>
      <c r="G105" s="17"/>
      <c r="H105" s="19"/>
      <c r="I105" s="19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x14ac:dyDescent="0.3">
      <c r="A106" s="35"/>
      <c r="B106" s="36"/>
      <c r="C106" s="18"/>
      <c r="D106" s="39"/>
      <c r="E106" s="39"/>
      <c r="F106" s="28"/>
      <c r="G106" s="17"/>
      <c r="H106" s="19"/>
      <c r="I106" s="19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35"/>
      <c r="B107" s="36"/>
      <c r="C107" s="18"/>
      <c r="D107" s="39"/>
      <c r="E107" s="39"/>
      <c r="F107" s="28"/>
      <c r="G107" s="17"/>
      <c r="H107" s="19"/>
      <c r="I107" s="29"/>
      <c r="J107" s="52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x14ac:dyDescent="0.3">
      <c r="A108" s="31"/>
      <c r="B108" s="41"/>
      <c r="C108" s="18"/>
      <c r="D108" s="39"/>
      <c r="E108" s="39"/>
      <c r="F108" s="28"/>
      <c r="G108" s="17"/>
      <c r="H108" s="19"/>
      <c r="I108" s="33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31"/>
      <c r="B109" s="32"/>
      <c r="C109" s="18"/>
      <c r="D109" s="3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18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18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32"/>
      <c r="C112" s="18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18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41"/>
      <c r="C114" s="18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18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18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41"/>
      <c r="C117" s="18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18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41"/>
      <c r="C119" s="18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2"/>
      <c r="C120" s="18"/>
      <c r="D120" s="3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2"/>
      <c r="C121" s="18"/>
      <c r="D121" s="3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32"/>
      <c r="C122" s="18"/>
      <c r="D122" s="3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32"/>
      <c r="C123" s="18"/>
      <c r="D123" s="3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32"/>
      <c r="C124" s="18"/>
      <c r="D124" s="3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32"/>
      <c r="C125" s="18"/>
      <c r="D125" s="39"/>
      <c r="E125" s="39"/>
      <c r="F125" s="28"/>
      <c r="G125" s="17"/>
      <c r="H125" s="19"/>
      <c r="I125" s="33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43"/>
      <c r="C126" s="18"/>
      <c r="D126" s="39"/>
      <c r="E126" s="39"/>
      <c r="F126" s="28"/>
      <c r="G126" s="17"/>
      <c r="H126" s="19"/>
      <c r="I126" s="33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  <row r="127" spans="1:23" x14ac:dyDescent="0.3">
      <c r="A127" s="31"/>
      <c r="B127" s="32"/>
      <c r="C127" s="18"/>
      <c r="D127" s="39"/>
      <c r="E127" s="39"/>
      <c r="F127" s="28"/>
      <c r="G127" s="17"/>
      <c r="H127" s="19"/>
      <c r="I127" s="33"/>
      <c r="J127" s="34"/>
      <c r="K127" s="22"/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</row>
    <row r="128" spans="1:23" x14ac:dyDescent="0.3">
      <c r="A128" s="31"/>
      <c r="B128" s="32"/>
      <c r="C128" s="18"/>
      <c r="D128" s="39"/>
      <c r="E128" s="39"/>
      <c r="F128" s="28"/>
      <c r="G128" s="17"/>
      <c r="H128" s="19"/>
      <c r="I128" s="33"/>
      <c r="J128" s="34"/>
      <c r="K128" s="22"/>
      <c r="L128" s="23"/>
      <c r="M128" s="24"/>
      <c r="N128" s="23"/>
      <c r="O128" s="24"/>
      <c r="P128" s="23"/>
      <c r="Q128" s="24"/>
      <c r="R128" s="23"/>
      <c r="S128" s="24"/>
      <c r="T128" s="23"/>
      <c r="U128" s="24"/>
      <c r="V128" s="23"/>
      <c r="W128" s="24"/>
    </row>
    <row r="129" spans="1:23" x14ac:dyDescent="0.3">
      <c r="A129" s="31"/>
      <c r="B129" s="43"/>
      <c r="C129" s="18"/>
      <c r="D129" s="39"/>
      <c r="E129" s="39"/>
      <c r="F129" s="28"/>
      <c r="G129" s="17"/>
      <c r="H129" s="19"/>
      <c r="I129" s="33"/>
      <c r="J129" s="34"/>
      <c r="K129" s="22"/>
      <c r="L129" s="23"/>
      <c r="M129" s="24"/>
      <c r="N129" s="23"/>
      <c r="O129" s="24"/>
      <c r="P129" s="23"/>
      <c r="Q129" s="24"/>
      <c r="R129" s="23"/>
      <c r="S129" s="24"/>
      <c r="T129" s="23"/>
      <c r="U129" s="24"/>
      <c r="V129" s="23"/>
      <c r="W129" s="24"/>
    </row>
    <row r="130" spans="1:23" x14ac:dyDescent="0.3">
      <c r="A130" s="31"/>
      <c r="B130" s="32"/>
      <c r="C130" s="18"/>
      <c r="D130" s="39"/>
      <c r="E130" s="39"/>
      <c r="F130" s="28"/>
      <c r="G130" s="17"/>
      <c r="H130" s="19"/>
      <c r="I130" s="33"/>
      <c r="J130" s="34"/>
      <c r="K130" s="22"/>
      <c r="L130" s="23"/>
      <c r="M130" s="24"/>
      <c r="N130" s="23"/>
      <c r="O130" s="24"/>
      <c r="P130" s="23"/>
      <c r="Q130" s="24"/>
      <c r="R130" s="23"/>
      <c r="S130" s="24"/>
      <c r="T130" s="23"/>
      <c r="U130" s="24"/>
      <c r="V130" s="23"/>
      <c r="W130" s="24"/>
    </row>
    <row r="131" spans="1:23" x14ac:dyDescent="0.3">
      <c r="A131" s="31"/>
      <c r="B131" s="41"/>
      <c r="C131" s="18"/>
      <c r="D131" s="39"/>
      <c r="E131" s="39"/>
      <c r="F131" s="28"/>
      <c r="G131" s="17"/>
      <c r="H131" s="19"/>
      <c r="I131" s="33"/>
      <c r="J131" s="34"/>
      <c r="K131" s="22"/>
      <c r="L131" s="23"/>
      <c r="M131" s="24"/>
      <c r="N131" s="23"/>
      <c r="O131" s="24"/>
      <c r="P131" s="23"/>
      <c r="Q131" s="24"/>
      <c r="R131" s="23"/>
      <c r="S131" s="24"/>
      <c r="T131" s="23"/>
      <c r="U131" s="24"/>
      <c r="V131" s="23"/>
      <c r="W131" s="24"/>
    </row>
    <row r="132" spans="1:23" x14ac:dyDescent="0.3">
      <c r="A132" s="31"/>
      <c r="B132" s="41"/>
      <c r="C132" s="18"/>
      <c r="D132" s="39"/>
      <c r="E132" s="39"/>
      <c r="F132" s="28"/>
      <c r="G132" s="17"/>
      <c r="H132" s="19"/>
      <c r="I132" s="33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3">
      <c r="A133" s="31"/>
      <c r="B133" s="32"/>
      <c r="C133" s="18"/>
      <c r="D133" s="39"/>
      <c r="E133" s="39"/>
      <c r="F133" s="28"/>
      <c r="G133" s="17"/>
      <c r="H133" s="19"/>
      <c r="I133" s="33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3">
      <c r="A134" s="31"/>
      <c r="B134" s="41"/>
      <c r="C134" s="18"/>
      <c r="D134" s="39"/>
      <c r="E134" s="39"/>
      <c r="F134" s="28"/>
      <c r="G134" s="17"/>
      <c r="H134" s="19"/>
      <c r="I134" s="33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</sheetData>
  <conditionalFormatting sqref="G2:G134">
    <cfRule type="cellIs" dxfId="4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FACDB-2F96-4BB0-8E80-1F2A334DFA11}">
  <sheetPr codeName="Sheet13">
    <tabColor theme="7" tint="0.39997558519241921"/>
  </sheetPr>
  <dimension ref="A1:AMJ123"/>
  <sheetViews>
    <sheetView zoomScale="80" zoomScaleNormal="80" workbookViewId="0">
      <pane xSplit="11" ySplit="1" topLeftCell="S2" activePane="bottomRight" state="frozen"/>
      <selection activeCell="D82" sqref="D82"/>
      <selection pane="topRight" activeCell="D82" sqref="D82"/>
      <selection pane="bottomLeft" activeCell="D82" sqref="D82"/>
      <selection pane="bottomRight" activeCell="U3" sqref="U3"/>
    </sheetView>
  </sheetViews>
  <sheetFormatPr defaultRowHeight="14.4" x14ac:dyDescent="0.3"/>
  <cols>
    <col min="1" max="1" width="8.6640625" style="37" customWidth="1"/>
    <col min="2" max="2" width="9.5546875" style="63" customWidth="1"/>
    <col min="3" max="3" width="9.5546875" style="63" hidden="1" customWidth="1"/>
    <col min="4" max="4" width="17.6640625" style="16" bestFit="1" customWidth="1"/>
    <col min="5" max="5" width="17.5546875" style="16" customWidth="1"/>
    <col min="6" max="6" width="8.109375" style="16" customWidth="1"/>
    <col min="7" max="7" width="6.88671875" style="16" customWidth="1"/>
    <col min="8" max="8" width="7" style="16" hidden="1" customWidth="1"/>
    <col min="9" max="9" width="14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7" si="0">RANK(K2,K$2:K$136,0)</f>
        <v>1</v>
      </c>
      <c r="B2" s="25">
        <v>5971</v>
      </c>
      <c r="C2" s="25">
        <f>_xlfn.XLOOKUP(__xlnm._FilterDatabase_1514[[#This Row],[SAPSA Number]],Table1[SAPSA number],Table1[Paid up])</f>
        <v>0</v>
      </c>
      <c r="D2" s="39" t="str">
        <f>_xlfn.XLOOKUP(__xlnm._FilterDatabase_1514[[#This Row],[SAPSA Number]],Table1[SAPSA number],Table1[Name])</f>
        <v>Hendrik</v>
      </c>
      <c r="E2" s="39" t="str">
        <f>_xlfn.XLOOKUP(__xlnm._FilterDatabase_1514[[#This Row],[SAPSA Number]],Table1[SAPSA number],Table1[Surname])</f>
        <v>van Rooyen</v>
      </c>
      <c r="F2" s="28" t="str">
        <f>_xlfn.XLOOKUP(__xlnm._FilterDatabase_1514[[#This Row],[SAPSA Number]],Table1[SAPSA number],Table1[Initials])</f>
        <v>H</v>
      </c>
      <c r="G2" s="17" t="str">
        <f ca="1">_xlfn.XLOOKUP(__xlnm._FilterDatabase_1514[[#This Row],[SAPSA Number]],Table1[SAPSA number],Table1[Gender])</f>
        <v>S</v>
      </c>
      <c r="H2" s="19" t="e">
        <f>_xlfn.XLOOKUP(__xlnm._FilterDatabase_1514[[#This Row],[SAPSA Number]],#REF!,#REF!)</f>
        <v>#REF!</v>
      </c>
      <c r="I2" s="19" t="s">
        <v>214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6</v>
      </c>
      <c r="K2" s="22">
        <f t="shared" ref="K2:K33" si="2">(LARGE(L2:U2,1)+LARGE(L2:U2,2)+LARGE(L2:U2,3)+LARGE(L2:U2,4)+LARGE(L2:U2,5))/5</f>
        <v>98.743899999999996</v>
      </c>
      <c r="L2" s="79">
        <v>100</v>
      </c>
      <c r="M2" s="80">
        <v>100</v>
      </c>
      <c r="N2" s="79">
        <v>0</v>
      </c>
      <c r="O2" s="80">
        <v>0</v>
      </c>
      <c r="P2" s="79">
        <v>93.719499999999996</v>
      </c>
      <c r="Q2" s="80">
        <v>0</v>
      </c>
      <c r="R2" s="79">
        <v>84.230500000000006</v>
      </c>
      <c r="S2" s="80">
        <v>100</v>
      </c>
      <c r="T2" s="79">
        <v>0</v>
      </c>
      <c r="U2" s="80">
        <v>100</v>
      </c>
      <c r="V2" s="79">
        <v>0</v>
      </c>
      <c r="W2" s="80">
        <v>0</v>
      </c>
    </row>
    <row r="3" spans="1:23" ht="14.4" customHeight="1" x14ac:dyDescent="0.3">
      <c r="A3" s="17">
        <f t="shared" si="0"/>
        <v>2</v>
      </c>
      <c r="B3" s="25">
        <v>1471</v>
      </c>
      <c r="C3" s="25" t="str">
        <f>_xlfn.XLOOKUP(__xlnm._FilterDatabase_1514[[#This Row],[SAPSA Number]],Table1[SAPSA number],Table1[Paid up])</f>
        <v>Y</v>
      </c>
      <c r="D3" s="39" t="str">
        <f>_xlfn.XLOOKUP(__xlnm._FilterDatabase_1514[[#This Row],[SAPSA Number]],Table1[SAPSA number],Table1[Name])</f>
        <v>Nikolaus Phillip Karl</v>
      </c>
      <c r="E3" s="39" t="str">
        <f>_xlfn.XLOOKUP(__xlnm._FilterDatabase_1514[[#This Row],[SAPSA Number]],Table1[SAPSA number],Table1[Surname])</f>
        <v>Bernhard</v>
      </c>
      <c r="F3" s="28" t="str">
        <f>_xlfn.XLOOKUP(__xlnm._FilterDatabase_1514[[#This Row],[SAPSA Number]],Table1[SAPSA number],Table1[Initials])</f>
        <v>NPK</v>
      </c>
      <c r="G3" s="17" t="str">
        <f ca="1">_xlfn.XLOOKUP(__xlnm._FilterDatabase_1514[[#This Row],[SAPSA Number]],Table1[SAPSA number],Table1[Gender])</f>
        <v xml:space="preserve"> </v>
      </c>
      <c r="H3" s="19" t="e">
        <f>_xlfn.XLOOKUP(__xlnm._FilterDatabase_1514[[#This Row],[SAPSA Number]],#REF!,#REF!)</f>
        <v>#REF!</v>
      </c>
      <c r="I3" s="19" t="s">
        <v>214</v>
      </c>
      <c r="J3" s="21">
        <f t="shared" si="1"/>
        <v>2</v>
      </c>
      <c r="K3" s="22">
        <f t="shared" si="2"/>
        <v>40</v>
      </c>
      <c r="L3" s="79">
        <v>0</v>
      </c>
      <c r="M3" s="80">
        <v>0</v>
      </c>
      <c r="N3" s="79">
        <v>0</v>
      </c>
      <c r="O3" s="80">
        <v>0</v>
      </c>
      <c r="P3" s="79">
        <v>100</v>
      </c>
      <c r="Q3" s="80">
        <v>0</v>
      </c>
      <c r="R3" s="79">
        <v>100</v>
      </c>
      <c r="S3" s="80">
        <v>0</v>
      </c>
      <c r="T3" s="79">
        <v>0</v>
      </c>
      <c r="U3" s="80">
        <v>0</v>
      </c>
      <c r="V3" s="79">
        <v>0</v>
      </c>
      <c r="W3" s="80">
        <v>0</v>
      </c>
    </row>
    <row r="4" spans="1:23" ht="14.4" customHeight="1" x14ac:dyDescent="0.3">
      <c r="A4" s="17">
        <f t="shared" si="0"/>
        <v>3</v>
      </c>
      <c r="B4" s="40">
        <v>4862</v>
      </c>
      <c r="C4" s="25" t="str">
        <f>_xlfn.XLOOKUP(__xlnm._FilterDatabase_1514[[#This Row],[SAPSA Number]],Table1[SAPSA number],Table1[Paid up])</f>
        <v>Y</v>
      </c>
      <c r="D4" s="39" t="str">
        <f>_xlfn.XLOOKUP(__xlnm._FilterDatabase_1514[[#This Row],[SAPSA Number]],Table1[SAPSA number],Table1[Name])</f>
        <v>George Keith</v>
      </c>
      <c r="E4" s="39" t="str">
        <f>_xlfn.XLOOKUP(__xlnm._FilterDatabase_1514[[#This Row],[SAPSA Number]],Table1[SAPSA number],Table1[Surname])</f>
        <v>Marais</v>
      </c>
      <c r="F4" s="28" t="str">
        <f>_xlfn.XLOOKUP(__xlnm._FilterDatabase_1514[[#This Row],[SAPSA Number]],Table1[SAPSA number],Table1[Initials])</f>
        <v>GK</v>
      </c>
      <c r="G4" s="17" t="str">
        <f ca="1">_xlfn.XLOOKUP(__xlnm._FilterDatabase_1514[[#This Row],[SAPSA Number]],Table1[SAPSA number],Table1[Gender])</f>
        <v>S</v>
      </c>
      <c r="H4" s="19" t="e">
        <f>_xlfn.XLOOKUP(__xlnm._FilterDatabase_1514[[#This Row],[SAPSA Number]],#REF!,#REF!)</f>
        <v>#REF!</v>
      </c>
      <c r="I4" s="19" t="s">
        <v>214</v>
      </c>
      <c r="J4" s="21">
        <f t="shared" si="1"/>
        <v>2</v>
      </c>
      <c r="K4" s="22">
        <f t="shared" si="2"/>
        <v>18.985939999999999</v>
      </c>
      <c r="L4" s="79">
        <v>56.931899999999999</v>
      </c>
      <c r="M4" s="80">
        <v>37.997799999999998</v>
      </c>
      <c r="N4" s="79">
        <v>0</v>
      </c>
      <c r="O4" s="80">
        <v>0</v>
      </c>
      <c r="P4" s="79">
        <v>0</v>
      </c>
      <c r="Q4" s="80">
        <v>0</v>
      </c>
      <c r="R4" s="79">
        <v>0</v>
      </c>
      <c r="S4" s="80">
        <v>0</v>
      </c>
      <c r="T4" s="79">
        <v>0</v>
      </c>
      <c r="U4" s="80">
        <v>0</v>
      </c>
      <c r="V4" s="79">
        <v>0</v>
      </c>
      <c r="W4" s="80">
        <v>0</v>
      </c>
    </row>
    <row r="5" spans="1:23" ht="14.4" customHeight="1" x14ac:dyDescent="0.3">
      <c r="A5" s="17">
        <f t="shared" si="0"/>
        <v>4</v>
      </c>
      <c r="B5" s="25">
        <v>4624</v>
      </c>
      <c r="C5" s="25" t="str">
        <f>_xlfn.XLOOKUP(__xlnm._FilterDatabase_1514[[#This Row],[SAPSA Number]],Table1[SAPSA number],Table1[Paid up])</f>
        <v>Y</v>
      </c>
      <c r="D5" s="39" t="str">
        <f>_xlfn.XLOOKUP(__xlnm._FilterDatabase_1514[[#This Row],[SAPSA Number]],Table1[SAPSA number],Table1[Name])</f>
        <v>Stephanus Christiaan</v>
      </c>
      <c r="E5" s="39" t="str">
        <f>_xlfn.XLOOKUP(__xlnm._FilterDatabase_1514[[#This Row],[SAPSA Number]],Table1[SAPSA number],Table1[Surname])</f>
        <v>Bester</v>
      </c>
      <c r="F5" s="28" t="str">
        <f>_xlfn.XLOOKUP(__xlnm._FilterDatabase_1514[[#This Row],[SAPSA Number]],Table1[SAPSA number],Table1[Initials])</f>
        <v>SC</v>
      </c>
      <c r="G5" s="17" t="str">
        <f ca="1">_xlfn.XLOOKUP(__xlnm._FilterDatabase_1514[[#This Row],[SAPSA Number]],Table1[SAPSA number],Table1[Gender])</f>
        <v>S</v>
      </c>
      <c r="H5" s="19" t="e">
        <f>_xlfn.XLOOKUP(__xlnm._FilterDatabase_1514[[#This Row],[SAPSA Number]],#REF!,#REF!)</f>
        <v>#REF!</v>
      </c>
      <c r="I5" s="19" t="s">
        <v>214</v>
      </c>
      <c r="J5" s="21">
        <f t="shared" si="1"/>
        <v>0</v>
      </c>
      <c r="K5" s="22">
        <f t="shared" si="2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 t="shared" si="0"/>
        <v>4</v>
      </c>
      <c r="B6" s="25">
        <v>7431</v>
      </c>
      <c r="C6" s="25">
        <f>_xlfn.XLOOKUP(__xlnm._FilterDatabase_1514[[#This Row],[SAPSA Number]],Table1[SAPSA number],Table1[Paid up])</f>
        <v>0</v>
      </c>
      <c r="D6" s="39" t="str">
        <f>_xlfn.XLOOKUP(__xlnm._FilterDatabase_1514[[#This Row],[SAPSA Number]],Table1[SAPSA number],Table1[Name])</f>
        <v>Anton</v>
      </c>
      <c r="E6" s="39" t="str">
        <f>_xlfn.XLOOKUP(__xlnm._FilterDatabase_1514[[#This Row],[SAPSA Number]],Table1[SAPSA number],Table1[Surname])</f>
        <v>Booyse</v>
      </c>
      <c r="F6" s="28" t="str">
        <f>_xlfn.XLOOKUP(__xlnm._FilterDatabase_1514[[#This Row],[SAPSA Number]],Table1[SAPSA number],Table1[Initials])</f>
        <v>A</v>
      </c>
      <c r="G6" s="17">
        <f>_xlfn.XLOOKUP(__xlnm._FilterDatabase_1514[[#This Row],[SAPSA Number]],Table1[SAPSA number],Table1[Gender])</f>
        <v>0</v>
      </c>
      <c r="H6" s="19"/>
      <c r="I6" s="19" t="s">
        <v>214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 t="shared" si="0"/>
        <v>4</v>
      </c>
      <c r="B7" s="25">
        <v>3349</v>
      </c>
      <c r="C7" s="25">
        <f>_xlfn.XLOOKUP(__xlnm._FilterDatabase_1514[[#This Row],[SAPSA Number]],Table1[SAPSA number],Table1[Paid up])</f>
        <v>0</v>
      </c>
      <c r="D7" s="39" t="str">
        <f>_xlfn.XLOOKUP(__xlnm._FilterDatabase_1514[[#This Row],[SAPSA Number]],Table1[SAPSA number],Table1[Name])</f>
        <v>Stefanus Christiaan</v>
      </c>
      <c r="E7" s="39" t="str">
        <f>_xlfn.XLOOKUP(__xlnm._FilterDatabase_1514[[#This Row],[SAPSA Number]],Table1[SAPSA number],Table1[Surname])</f>
        <v>Bosch</v>
      </c>
      <c r="F7" s="28" t="str">
        <f>_xlfn.XLOOKUP(__xlnm._FilterDatabase_1514[[#This Row],[SAPSA Number]],Table1[SAPSA number],Table1[Initials])</f>
        <v>SC</v>
      </c>
      <c r="G7" s="17" t="str">
        <f ca="1">_xlfn.XLOOKUP(__xlnm._FilterDatabase_1514[[#This Row],[SAPSA Number]],Table1[SAPSA number],Table1[Gender])</f>
        <v>S</v>
      </c>
      <c r="H7" s="19" t="e">
        <f>_xlfn.XLOOKUP(__xlnm._FilterDatabase_1514[[#This Row],[SAPSA Number]],#REF!,#REF!)</f>
        <v>#REF!</v>
      </c>
      <c r="I7" s="19" t="s">
        <v>214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>RANK(K8,K$2:K$155,0)</f>
        <v>4</v>
      </c>
      <c r="B8" s="18">
        <v>4621</v>
      </c>
      <c r="C8" s="25">
        <f>_xlfn.XLOOKUP(__xlnm._FilterDatabase_1514[[#This Row],[SAPSA Number]],Table1[SAPSA number],Table1[Paid up])</f>
        <v>0</v>
      </c>
      <c r="D8" s="39" t="str">
        <f>_xlfn.XLOOKUP(__xlnm._FilterDatabase_1514[[#This Row],[SAPSA Number]],Table1[SAPSA number],Table1[Name])</f>
        <v>Colin</v>
      </c>
      <c r="E8" s="39" t="str">
        <f>_xlfn.XLOOKUP(__xlnm._FilterDatabase_1514[[#This Row],[SAPSA Number]],Table1[SAPSA number],Table1[Surname])</f>
        <v>Bowring</v>
      </c>
      <c r="F8" s="28" t="str">
        <f>_xlfn.XLOOKUP(__xlnm._FilterDatabase_1514[[#This Row],[SAPSA Number]],Table1[SAPSA number],Table1[Initials])</f>
        <v>C</v>
      </c>
      <c r="G8" s="17" t="str">
        <f ca="1">_xlfn.XLOOKUP(__xlnm._FilterDatabase_1514[[#This Row],[SAPSA Number]],Table1[SAPSA number],Table1[Gender])</f>
        <v>SS</v>
      </c>
      <c r="H8" s="19" t="e">
        <f>_xlfn.XLOOKUP(__xlnm._FilterDatabase_1514[[#This Row],[SAPSA Number]],#REF!,#REF!)</f>
        <v>#REF!</v>
      </c>
      <c r="I8" s="19" t="s">
        <v>214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 t="shared" ref="A9:A40" si="3">RANK(K9,K$2:K$136,0)</f>
        <v>4</v>
      </c>
      <c r="B9" s="18">
        <v>3338</v>
      </c>
      <c r="C9" s="25">
        <f>_xlfn.XLOOKUP(__xlnm._FilterDatabase_1514[[#This Row],[SAPSA Number]],Table1[SAPSA number],Table1[Paid up])</f>
        <v>0</v>
      </c>
      <c r="D9" s="39" t="str">
        <f>_xlfn.XLOOKUP(__xlnm._FilterDatabase_1514[[#This Row],[SAPSA Number]],Table1[SAPSA number],Table1[Name])</f>
        <v>Carl Johann</v>
      </c>
      <c r="E9" s="39" t="str">
        <f>_xlfn.XLOOKUP(__xlnm._FilterDatabase_1514[[#This Row],[SAPSA Number]],Table1[SAPSA number],Table1[Surname])</f>
        <v>Brandt</v>
      </c>
      <c r="F9" s="28" t="str">
        <f>_xlfn.XLOOKUP(__xlnm._FilterDatabase_1514[[#This Row],[SAPSA Number]],Table1[SAPSA number],Table1[Initials])</f>
        <v>CJ</v>
      </c>
      <c r="G9" s="17" t="str">
        <f ca="1">_xlfn.XLOOKUP(__xlnm._FilterDatabase_1514[[#This Row],[SAPSA Number]],Table1[SAPSA number],Table1[Gender])</f>
        <v>S</v>
      </c>
      <c r="H9" s="19" t="e">
        <f>_xlfn.XLOOKUP(__xlnm._FilterDatabase_1514[[#This Row],[SAPSA Number]],#REF!,#REF!)</f>
        <v>#REF!</v>
      </c>
      <c r="I9" s="19" t="s">
        <v>214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si="3"/>
        <v>4</v>
      </c>
      <c r="B10" s="25">
        <v>3350</v>
      </c>
      <c r="C10" s="25">
        <f>_xlfn.XLOOKUP(__xlnm._FilterDatabase_1514[[#This Row],[SAPSA Number]],Table1[SAPSA number],Table1[Paid up])</f>
        <v>0</v>
      </c>
      <c r="D10" s="39" t="str">
        <f>_xlfn.XLOOKUP(__xlnm._FilterDatabase_1514[[#This Row],[SAPSA Number]],Table1[SAPSA number],Table1[Name])</f>
        <v>Conrad Ernest</v>
      </c>
      <c r="E10" s="39" t="str">
        <f>_xlfn.XLOOKUP(__xlnm._FilterDatabase_1514[[#This Row],[SAPSA Number]],Table1[SAPSA number],Table1[Surname])</f>
        <v>Brandt</v>
      </c>
      <c r="F10" s="28" t="str">
        <f>_xlfn.XLOOKUP(__xlnm._FilterDatabase_1514[[#This Row],[SAPSA Number]],Table1[SAPSA number],Table1[Initials])</f>
        <v>CE</v>
      </c>
      <c r="G10" s="17" t="str">
        <f ca="1">_xlfn.XLOOKUP(__xlnm._FilterDatabase_1514[[#This Row],[SAPSA Number]],Table1[SAPSA number],Table1[Gender])</f>
        <v>S</v>
      </c>
      <c r="H10" s="19" t="e">
        <f>_xlfn.XLOOKUP(__xlnm._FilterDatabase_1514[[#This Row],[SAPSA Number]],#REF!,#REF!)</f>
        <v>#REF!</v>
      </c>
      <c r="I10" s="19" t="s">
        <v>214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3"/>
        <v>4</v>
      </c>
      <c r="B11" s="25">
        <v>3576</v>
      </c>
      <c r="C11" s="25" t="str">
        <f>_xlfn.XLOOKUP(__xlnm._FilterDatabase_1514[[#This Row],[SAPSA Number]],Table1[SAPSA number],Table1[Paid up])</f>
        <v>Y</v>
      </c>
      <c r="D11" s="39" t="str">
        <f>_xlfn.XLOOKUP(__xlnm._FilterDatabase_1514[[#This Row],[SAPSA Number]],Table1[SAPSA number],Table1[Name])</f>
        <v>Christoff Mechiel</v>
      </c>
      <c r="E11" s="39" t="str">
        <f>_xlfn.XLOOKUP(__xlnm._FilterDatabase_1514[[#This Row],[SAPSA Number]],Table1[SAPSA number],Table1[Surname])</f>
        <v>Brandt</v>
      </c>
      <c r="F11" s="28" t="str">
        <f>_xlfn.XLOOKUP(__xlnm._FilterDatabase_1514[[#This Row],[SAPSA Number]],Table1[SAPSA number],Table1[Initials])</f>
        <v>CM</v>
      </c>
      <c r="G11" s="17" t="str">
        <f ca="1">_xlfn.XLOOKUP(__xlnm._FilterDatabase_1514[[#This Row],[SAPSA Number]],Table1[SAPSA number],Table1[Gender])</f>
        <v xml:space="preserve"> </v>
      </c>
      <c r="H11" s="19" t="e">
        <f>_xlfn.XLOOKUP(__xlnm._FilterDatabase_1514[[#This Row],[SAPSA Number]],#REF!,#REF!)</f>
        <v>#REF!</v>
      </c>
      <c r="I11" s="19" t="s">
        <v>214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3"/>
        <v>4</v>
      </c>
      <c r="B12" s="40">
        <v>5304</v>
      </c>
      <c r="C12" s="25">
        <f>_xlfn.XLOOKUP(__xlnm._FilterDatabase_1514[[#This Row],[SAPSA Number]],Table1[SAPSA number],Table1[Paid up])</f>
        <v>0</v>
      </c>
      <c r="D12" s="39" t="str">
        <f>_xlfn.XLOOKUP(__xlnm._FilterDatabase_1514[[#This Row],[SAPSA Number]],Table1[SAPSA number],Table1[Name])</f>
        <v>Johan Gerard</v>
      </c>
      <c r="E12" s="39" t="str">
        <f>_xlfn.XLOOKUP(__xlnm._FilterDatabase_1514[[#This Row],[SAPSA Number]],Table1[SAPSA number],Table1[Surname])</f>
        <v>Bultman</v>
      </c>
      <c r="F12" s="28" t="str">
        <f>_xlfn.XLOOKUP(__xlnm._FilterDatabase_1514[[#This Row],[SAPSA Number]],Table1[SAPSA number],Table1[Initials])</f>
        <v>JG</v>
      </c>
      <c r="G12" s="17" t="str">
        <f ca="1">_xlfn.XLOOKUP(__xlnm._FilterDatabase_1514[[#This Row],[SAPSA Number]],Table1[SAPSA number],Table1[Gender])</f>
        <v xml:space="preserve"> </v>
      </c>
      <c r="H12" s="19" t="e">
        <f>_xlfn.XLOOKUP(__xlnm._FilterDatabase_1514[[#This Row],[SAPSA Number]],#REF!,#REF!)</f>
        <v>#REF!</v>
      </c>
      <c r="I12" s="19" t="s">
        <v>214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3"/>
        <v>4</v>
      </c>
      <c r="B13" s="25">
        <v>259</v>
      </c>
      <c r="C13" s="25" t="str">
        <f>_xlfn.XLOOKUP(__xlnm._FilterDatabase_1514[[#This Row],[SAPSA Number]],Table1[SAPSA number],Table1[Paid up])</f>
        <v>Y</v>
      </c>
      <c r="D13" s="39" t="str">
        <f>_xlfn.XLOOKUP(__xlnm._FilterDatabase_1514[[#This Row],[SAPSA Number]],Table1[SAPSA number],Table1[Name])</f>
        <v>Kathleen Beresford</v>
      </c>
      <c r="E13" s="39" t="str">
        <f>_xlfn.XLOOKUP(__xlnm._FilterDatabase_1514[[#This Row],[SAPSA Number]],Table1[SAPSA number],Table1[Surname])</f>
        <v>Carter</v>
      </c>
      <c r="F13" s="28" t="str">
        <f>_xlfn.XLOOKUP(__xlnm._FilterDatabase_1514[[#This Row],[SAPSA Number]],Table1[SAPSA number],Table1[Initials])</f>
        <v>KB</v>
      </c>
      <c r="G13" s="17" t="str">
        <f>_xlfn.XLOOKUP(__xlnm._FilterDatabase_1514[[#This Row],[SAPSA Number]],Table1[SAPSA number],Table1[Gender])</f>
        <v>Lady</v>
      </c>
      <c r="H13" s="19" t="e">
        <f>_xlfn.XLOOKUP(__xlnm._FilterDatabase_1514[[#This Row],[SAPSA Number]],#REF!,#REF!)</f>
        <v>#REF!</v>
      </c>
      <c r="I13" s="19" t="s">
        <v>214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3"/>
        <v>4</v>
      </c>
      <c r="B14" s="25">
        <v>4316</v>
      </c>
      <c r="C14" s="25" t="str">
        <f>_xlfn.XLOOKUP(__xlnm._FilterDatabase_1514[[#This Row],[SAPSA Number]],Table1[SAPSA number],Table1[Paid up])</f>
        <v>Y</v>
      </c>
      <c r="D14" s="39" t="str">
        <f>_xlfn.XLOOKUP(__xlnm._FilterDatabase_1514[[#This Row],[SAPSA Number]],Table1[SAPSA number],Table1[Name])</f>
        <v>Wilhelm Jacobus</v>
      </c>
      <c r="E14" s="39" t="str">
        <f>_xlfn.XLOOKUP(__xlnm._FilterDatabase_1514[[#This Row],[SAPSA Number]],Table1[SAPSA number],Table1[Surname])</f>
        <v>Coetzee</v>
      </c>
      <c r="F14" s="28" t="str">
        <f>_xlfn.XLOOKUP(__xlnm._FilterDatabase_1514[[#This Row],[SAPSA Number]],Table1[SAPSA number],Table1[Initials])</f>
        <v>WJ</v>
      </c>
      <c r="G14" s="17" t="str">
        <f ca="1">_xlfn.XLOOKUP(__xlnm._FilterDatabase_1514[[#This Row],[SAPSA Number]],Table1[SAPSA number],Table1[Gender])</f>
        <v>S</v>
      </c>
      <c r="H14" s="19" t="e">
        <f>_xlfn.XLOOKUP(__xlnm._FilterDatabase_1514[[#This Row],[SAPSA Number]],#REF!,#REF!)</f>
        <v>#REF!</v>
      </c>
      <c r="I14" s="19" t="s">
        <v>214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3"/>
        <v>4</v>
      </c>
      <c r="B15" s="25">
        <v>591</v>
      </c>
      <c r="C15" s="25" t="str">
        <f>_xlfn.XLOOKUP(__xlnm._FilterDatabase_1514[[#This Row],[SAPSA Number]],Table1[SAPSA number],Table1[Paid up])</f>
        <v>Y</v>
      </c>
      <c r="D15" s="39" t="str">
        <f>_xlfn.XLOOKUP(__xlnm._FilterDatabase_1514[[#This Row],[SAPSA Number]],Table1[SAPSA number],Table1[Name])</f>
        <v>Enrico</v>
      </c>
      <c r="E15" s="39" t="str">
        <f>_xlfn.XLOOKUP(__xlnm._FilterDatabase_1514[[#This Row],[SAPSA Number]],Table1[SAPSA number],Table1[Surname])</f>
        <v>Cupido</v>
      </c>
      <c r="F15" s="28" t="str">
        <f>_xlfn.XLOOKUP(__xlnm._FilterDatabase_1514[[#This Row],[SAPSA Number]],Table1[SAPSA number],Table1[Initials])</f>
        <v>E</v>
      </c>
      <c r="G15" s="17" t="str">
        <f ca="1">_xlfn.XLOOKUP(__xlnm._FilterDatabase_1514[[#This Row],[SAPSA Number]],Table1[SAPSA number],Table1[Gender])</f>
        <v>GS</v>
      </c>
      <c r="H15" s="19" t="e">
        <f>_xlfn.XLOOKUP(__xlnm._FilterDatabase_1514[[#This Row],[SAPSA Number]],#REF!,#REF!)</f>
        <v>#REF!</v>
      </c>
      <c r="I15" s="19" t="s">
        <v>214</v>
      </c>
      <c r="J15" s="21">
        <f t="shared" si="1"/>
        <v>0</v>
      </c>
      <c r="K15" s="22">
        <f t="shared" si="2"/>
        <v>0</v>
      </c>
      <c r="L15" s="79">
        <v>0</v>
      </c>
      <c r="M15" s="80">
        <v>0</v>
      </c>
      <c r="N15" s="79">
        <v>0</v>
      </c>
      <c r="O15" s="80">
        <v>0</v>
      </c>
      <c r="P15" s="79">
        <v>0</v>
      </c>
      <c r="Q15" s="80">
        <v>0</v>
      </c>
      <c r="R15" s="79">
        <v>0</v>
      </c>
      <c r="S15" s="80">
        <v>0</v>
      </c>
      <c r="T15" s="79">
        <v>0</v>
      </c>
      <c r="U15" s="80">
        <v>0</v>
      </c>
      <c r="V15" s="79">
        <v>0</v>
      </c>
      <c r="W15" s="80">
        <v>0</v>
      </c>
    </row>
    <row r="16" spans="1:23" ht="14.4" customHeight="1" x14ac:dyDescent="0.3">
      <c r="A16" s="17">
        <f t="shared" si="3"/>
        <v>4</v>
      </c>
      <c r="B16" s="25">
        <v>601</v>
      </c>
      <c r="C16" s="25" t="str">
        <f>_xlfn.XLOOKUP(__xlnm._FilterDatabase_1514[[#This Row],[SAPSA Number]],Table1[SAPSA number],Table1[Paid up])</f>
        <v>Y</v>
      </c>
      <c r="D16" s="39" t="str">
        <f>_xlfn.XLOOKUP(__xlnm._FilterDatabase_1514[[#This Row],[SAPSA Number]],Table1[SAPSA number],Table1[Name])</f>
        <v>Piero</v>
      </c>
      <c r="E16" s="39" t="str">
        <f>_xlfn.XLOOKUP(__xlnm._FilterDatabase_1514[[#This Row],[SAPSA Number]],Table1[SAPSA number],Table1[Surname])</f>
        <v>Cupido</v>
      </c>
      <c r="F16" s="28" t="str">
        <f>_xlfn.XLOOKUP(__xlnm._FilterDatabase_1514[[#This Row],[SAPSA Number]],Table1[SAPSA number],Table1[Initials])</f>
        <v>P</v>
      </c>
      <c r="G16" s="17" t="str">
        <f ca="1">_xlfn.XLOOKUP(__xlnm._FilterDatabase_1514[[#This Row],[SAPSA Number]],Table1[SAPSA number],Table1[Gender])</f>
        <v xml:space="preserve"> </v>
      </c>
      <c r="H16" s="19" t="e">
        <f>_xlfn.XLOOKUP(__xlnm._FilterDatabase_1514[[#This Row],[SAPSA Number]],#REF!,#REF!)</f>
        <v>#REF!</v>
      </c>
      <c r="I16" s="19" t="s">
        <v>214</v>
      </c>
      <c r="J16" s="21">
        <f t="shared" si="1"/>
        <v>0</v>
      </c>
      <c r="K16" s="22">
        <f t="shared" si="2"/>
        <v>0</v>
      </c>
      <c r="L16" s="79">
        <v>0</v>
      </c>
      <c r="M16" s="80">
        <v>0</v>
      </c>
      <c r="N16" s="79">
        <v>0</v>
      </c>
      <c r="O16" s="80">
        <v>0</v>
      </c>
      <c r="P16" s="79">
        <v>0</v>
      </c>
      <c r="Q16" s="80">
        <v>0</v>
      </c>
      <c r="R16" s="79">
        <v>0</v>
      </c>
      <c r="S16" s="80">
        <v>0</v>
      </c>
      <c r="T16" s="79">
        <v>0</v>
      </c>
      <c r="U16" s="80">
        <v>0</v>
      </c>
      <c r="V16" s="79">
        <v>0</v>
      </c>
      <c r="W16" s="80">
        <v>0</v>
      </c>
    </row>
    <row r="17" spans="1:23" ht="14.4" customHeight="1" x14ac:dyDescent="0.3">
      <c r="A17" s="17">
        <f t="shared" si="3"/>
        <v>4</v>
      </c>
      <c r="B17" s="25">
        <v>288</v>
      </c>
      <c r="C17" s="25" t="str">
        <f>_xlfn.XLOOKUP(__xlnm._FilterDatabase_1514[[#This Row],[SAPSA Number]],Table1[SAPSA number],Table1[Paid up])</f>
        <v>Y</v>
      </c>
      <c r="D17" s="39" t="str">
        <f>_xlfn.XLOOKUP(__xlnm._FilterDatabase_1514[[#This Row],[SAPSA Number]],Table1[SAPSA number],Table1[Name])</f>
        <v>Feroz</v>
      </c>
      <c r="E17" s="39" t="str">
        <f>_xlfn.XLOOKUP(__xlnm._FilterDatabase_1514[[#This Row],[SAPSA Number]],Table1[SAPSA number],Table1[Surname])</f>
        <v>Daya</v>
      </c>
      <c r="F17" s="28" t="str">
        <f>_xlfn.XLOOKUP(__xlnm._FilterDatabase_1514[[#This Row],[SAPSA Number]],Table1[SAPSA number],Table1[Initials])</f>
        <v>F</v>
      </c>
      <c r="G17" s="17" t="str">
        <f ca="1">_xlfn.XLOOKUP(__xlnm._FilterDatabase_1514[[#This Row],[SAPSA Number]],Table1[SAPSA number],Table1[Gender])</f>
        <v>S</v>
      </c>
      <c r="H17" s="19" t="e">
        <f>_xlfn.XLOOKUP(__xlnm._FilterDatabase_1514[[#This Row],[SAPSA Number]],#REF!,#REF!)</f>
        <v>#REF!</v>
      </c>
      <c r="I17" s="19" t="s">
        <v>214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3"/>
        <v>4</v>
      </c>
      <c r="B18" s="40">
        <v>6846</v>
      </c>
      <c r="C18" s="25">
        <f>_xlfn.XLOOKUP(__xlnm._FilterDatabase_1514[[#This Row],[SAPSA Number]],Table1[SAPSA number],Table1[Paid up])</f>
        <v>0</v>
      </c>
      <c r="D18" s="39" t="str">
        <f>_xlfn.XLOOKUP(__xlnm._FilterDatabase_1514[[#This Row],[SAPSA Number]],Table1[SAPSA number],Table1[Name])</f>
        <v>Daniel Stephanus Jacobus</v>
      </c>
      <c r="E18" s="39" t="str">
        <f>_xlfn.XLOOKUP(__xlnm._FilterDatabase_1514[[#This Row],[SAPSA Number]],Table1[SAPSA number],Table1[Surname])</f>
        <v>Dreyer</v>
      </c>
      <c r="F18" s="28" t="str">
        <f>_xlfn.XLOOKUP(__xlnm._FilterDatabase_1514[[#This Row],[SAPSA Number]],Table1[SAPSA number],Table1[Initials])</f>
        <v>DSJ</v>
      </c>
      <c r="G18" s="17" t="str">
        <f ca="1">_xlfn.XLOOKUP(__xlnm._FilterDatabase_1514[[#This Row],[SAPSA Number]],Table1[SAPSA number],Table1[Gender])</f>
        <v xml:space="preserve"> </v>
      </c>
      <c r="H18" s="19" t="e">
        <f>_xlfn.XLOOKUP(__xlnm._FilterDatabase_1514[[#This Row],[SAPSA Number]],#REF!,#REF!)</f>
        <v>#REF!</v>
      </c>
      <c r="I18" s="19" t="s">
        <v>214</v>
      </c>
      <c r="J18" s="21">
        <f t="shared" si="1"/>
        <v>0</v>
      </c>
      <c r="K18" s="22">
        <f t="shared" si="2"/>
        <v>0</v>
      </c>
      <c r="L18" s="79">
        <v>0</v>
      </c>
      <c r="M18" s="80">
        <v>0</v>
      </c>
      <c r="N18" s="79">
        <v>0</v>
      </c>
      <c r="O18" s="80">
        <v>0</v>
      </c>
      <c r="P18" s="79">
        <v>0</v>
      </c>
      <c r="Q18" s="80">
        <v>0</v>
      </c>
      <c r="R18" s="79">
        <v>0</v>
      </c>
      <c r="S18" s="80">
        <v>0</v>
      </c>
      <c r="T18" s="79">
        <v>0</v>
      </c>
      <c r="U18" s="80">
        <v>0</v>
      </c>
      <c r="V18" s="79">
        <v>0</v>
      </c>
      <c r="W18" s="80">
        <v>0</v>
      </c>
    </row>
    <row r="19" spans="1:23" ht="14.4" customHeight="1" x14ac:dyDescent="0.3">
      <c r="A19" s="17">
        <f t="shared" si="3"/>
        <v>4</v>
      </c>
      <c r="B19" s="25">
        <v>392</v>
      </c>
      <c r="C19" s="25" t="str">
        <f>_xlfn.XLOOKUP(__xlnm._FilterDatabase_1514[[#This Row],[SAPSA Number]],Table1[SAPSA number],Table1[Paid up])</f>
        <v>Y</v>
      </c>
      <c r="D19" s="39" t="str">
        <f>_xlfn.XLOOKUP(__xlnm._FilterDatabase_1514[[#This Row],[SAPSA Number]],Table1[SAPSA number],Table1[Name])</f>
        <v>Sasha-Lee</v>
      </c>
      <c r="E19" s="39" t="str">
        <f>_xlfn.XLOOKUP(__xlnm._FilterDatabase_1514[[#This Row],[SAPSA Number]],Table1[SAPSA number],Table1[Surname])</f>
        <v>Du Plessis</v>
      </c>
      <c r="F19" s="28" t="str">
        <f>_xlfn.XLOOKUP(__xlnm._FilterDatabase_1514[[#This Row],[SAPSA Number]],Table1[SAPSA number],Table1[Initials])</f>
        <v>SL</v>
      </c>
      <c r="G19" s="17" t="str">
        <f>_xlfn.XLOOKUP(__xlnm._FilterDatabase_1514[[#This Row],[SAPSA Number]],Table1[SAPSA number],Table1[Gender])</f>
        <v>Lady</v>
      </c>
      <c r="H19" s="19" t="e">
        <f>_xlfn.XLOOKUP(__xlnm._FilterDatabase_1514[[#This Row],[SAPSA Number]],#REF!,#REF!)</f>
        <v>#REF!</v>
      </c>
      <c r="I19" s="19" t="s">
        <v>214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3"/>
        <v>4</v>
      </c>
      <c r="B20" s="18">
        <v>127</v>
      </c>
      <c r="C20" s="25" t="str">
        <f>_xlfn.XLOOKUP(__xlnm._FilterDatabase_1514[[#This Row],[SAPSA Number]],Table1[SAPSA number],Table1[Paid up])</f>
        <v>Y</v>
      </c>
      <c r="D20" s="39" t="str">
        <f>_xlfn.XLOOKUP(__xlnm._FilterDatabase_1514[[#This Row],[SAPSA Number]],Table1[SAPSA number],Table1[Name])</f>
        <v>Eurika Susara</v>
      </c>
      <c r="E20" s="39" t="str">
        <f>_xlfn.XLOOKUP(__xlnm._FilterDatabase_1514[[#This Row],[SAPSA Number]],Table1[SAPSA number],Table1[Surname])</f>
        <v>Du Plooy</v>
      </c>
      <c r="F20" s="28" t="str">
        <f>_xlfn.XLOOKUP(__xlnm._FilterDatabase_1514[[#This Row],[SAPSA Number]],Table1[SAPSA number],Table1[Initials])</f>
        <v>E</v>
      </c>
      <c r="G20" s="17" t="str">
        <f>_xlfn.XLOOKUP(__xlnm._FilterDatabase_1514[[#This Row],[SAPSA Number]],Table1[SAPSA number],Table1[Gender])</f>
        <v>SS</v>
      </c>
      <c r="H20" s="19" t="e">
        <f>_xlfn.XLOOKUP(__xlnm._FilterDatabase_1514[[#This Row],[SAPSA Number]],#REF!,#REF!)</f>
        <v>#REF!</v>
      </c>
      <c r="I20" s="19" t="s">
        <v>214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3"/>
        <v>4</v>
      </c>
      <c r="B21" s="25">
        <v>393</v>
      </c>
      <c r="C21" s="25" t="str">
        <f>_xlfn.XLOOKUP(__xlnm._FilterDatabase_1514[[#This Row],[SAPSA Number]],Table1[SAPSA number],Table1[Paid up])</f>
        <v>Y</v>
      </c>
      <c r="D21" s="39" t="str">
        <f>_xlfn.XLOOKUP(__xlnm._FilterDatabase_1514[[#This Row],[SAPSA Number]],Table1[SAPSA number],Table1[Name])</f>
        <v>Robyn Angela</v>
      </c>
      <c r="E21" s="39" t="str">
        <f>_xlfn.XLOOKUP(__xlnm._FilterDatabase_1514[[#This Row],[SAPSA Number]],Table1[SAPSA number],Table1[Surname])</f>
        <v>Evans</v>
      </c>
      <c r="F21" s="28" t="str">
        <f>_xlfn.XLOOKUP(__xlnm._FilterDatabase_1514[[#This Row],[SAPSA Number]],Table1[SAPSA number],Table1[Initials])</f>
        <v>RA</v>
      </c>
      <c r="G21" s="17" t="str">
        <f>_xlfn.XLOOKUP(__xlnm._FilterDatabase_1514[[#This Row],[SAPSA Number]],Table1[SAPSA number],Table1[Gender])</f>
        <v>Lady</v>
      </c>
      <c r="H21" s="19" t="e">
        <f>_xlfn.XLOOKUP(__xlnm._FilterDatabase_1514[[#This Row],[SAPSA Number]],#REF!,#REF!)</f>
        <v>#REF!</v>
      </c>
      <c r="I21" s="19" t="s">
        <v>214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3"/>
        <v>4</v>
      </c>
      <c r="B22" s="86">
        <v>3172</v>
      </c>
      <c r="C22" s="25" t="str">
        <f>_xlfn.XLOOKUP(__xlnm._FilterDatabase_1514[[#This Row],[SAPSA Number]],Table1[SAPSA number],Table1[Paid up])</f>
        <v>Y</v>
      </c>
      <c r="D22" s="39" t="str">
        <f>_xlfn.XLOOKUP(__xlnm._FilterDatabase_1514[[#This Row],[SAPSA Number]],Table1[SAPSA number],Table1[Name])</f>
        <v>Mervyn-John</v>
      </c>
      <c r="E22" s="39" t="str">
        <f>_xlfn.XLOOKUP(__xlnm._FilterDatabase_1514[[#This Row],[SAPSA Number]],Table1[SAPSA number],Table1[Surname])</f>
        <v>Evans</v>
      </c>
      <c r="F22" s="28" t="str">
        <f>_xlfn.XLOOKUP(__xlnm._FilterDatabase_1514[[#This Row],[SAPSA Number]],Table1[SAPSA number],Table1[Initials])</f>
        <v>MJ</v>
      </c>
      <c r="G22" s="17" t="str">
        <f ca="1">_xlfn.XLOOKUP(__xlnm._FilterDatabase_1514[[#This Row],[SAPSA Number]],Table1[SAPSA number],Table1[Gender])</f>
        <v>SS</v>
      </c>
      <c r="H22" s="19" t="e">
        <f>_xlfn.XLOOKUP(__xlnm._FilterDatabase_1514[[#This Row],[SAPSA Number]],#REF!,#REF!)</f>
        <v>#REF!</v>
      </c>
      <c r="I22" s="19" t="s">
        <v>214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3"/>
        <v>4</v>
      </c>
      <c r="B23" s="86">
        <v>3173</v>
      </c>
      <c r="C23" s="25" t="str">
        <f>_xlfn.XLOOKUP(__xlnm._FilterDatabase_1514[[#This Row],[SAPSA Number]],Table1[SAPSA number],Table1[Paid up])</f>
        <v>Y</v>
      </c>
      <c r="D23" s="39" t="str">
        <f>_xlfn.XLOOKUP(__xlnm._FilterDatabase_1514[[#This Row],[SAPSA Number]],Table1[SAPSA number],Table1[Name])</f>
        <v>Garrett-John</v>
      </c>
      <c r="E23" s="39" t="str">
        <f>_xlfn.XLOOKUP(__xlnm._FilterDatabase_1514[[#This Row],[SAPSA Number]],Table1[SAPSA number],Table1[Surname])</f>
        <v>Evans</v>
      </c>
      <c r="F23" s="28" t="str">
        <f>_xlfn.XLOOKUP(__xlnm._FilterDatabase_1514[[#This Row],[SAPSA Number]],Table1[SAPSA number],Table1[Initials])</f>
        <v>G-J</v>
      </c>
      <c r="G23" s="17" t="str">
        <f ca="1">_xlfn.XLOOKUP(__xlnm._FilterDatabase_1514[[#This Row],[SAPSA Number]],Table1[SAPSA number],Table1[Gender])</f>
        <v xml:space="preserve"> </v>
      </c>
      <c r="H23" s="19" t="e">
        <f>_xlfn.XLOOKUP(__xlnm._FilterDatabase_1514[[#This Row],[SAPSA Number]],#REF!,#REF!)</f>
        <v>#REF!</v>
      </c>
      <c r="I23" s="19" t="s">
        <v>214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3"/>
        <v>4</v>
      </c>
      <c r="B24" s="25">
        <v>7434</v>
      </c>
      <c r="C24" s="25">
        <f>_xlfn.XLOOKUP(__xlnm._FilterDatabase_1514[[#This Row],[SAPSA Number]],Table1[SAPSA number],Table1[Paid up])</f>
        <v>0</v>
      </c>
      <c r="D24" s="39" t="str">
        <f>_xlfn.XLOOKUP(__xlnm._FilterDatabase_1514[[#This Row],[SAPSA Number]],Table1[SAPSA number],Table1[Name])</f>
        <v>Shannon Kimberley</v>
      </c>
      <c r="E24" s="39" t="str">
        <f>_xlfn.XLOOKUP(__xlnm._FilterDatabase_1514[[#This Row],[SAPSA Number]],Table1[SAPSA number],Table1[Surname])</f>
        <v>Gahagan</v>
      </c>
      <c r="F24" s="28" t="str">
        <f>_xlfn.XLOOKUP(__xlnm._FilterDatabase_1514[[#This Row],[SAPSA Number]],Table1[SAPSA number],Table1[Initials])</f>
        <v>S</v>
      </c>
      <c r="G24" s="17" t="str">
        <f>_xlfn.XLOOKUP(__xlnm._FilterDatabase_1514[[#This Row],[SAPSA Number]],Table1[SAPSA number],Table1[Gender])</f>
        <v>Lady</v>
      </c>
      <c r="H24" s="19"/>
      <c r="I24" s="19" t="s">
        <v>214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3"/>
        <v>4</v>
      </c>
      <c r="B25" s="25">
        <v>3782</v>
      </c>
      <c r="C25" s="25">
        <f>_xlfn.XLOOKUP(__xlnm._FilterDatabase_1514[[#This Row],[SAPSA Number]],Table1[SAPSA number],Table1[Paid up])</f>
        <v>0</v>
      </c>
      <c r="D25" s="39" t="str">
        <f>_xlfn.XLOOKUP(__xlnm._FilterDatabase_1514[[#This Row],[SAPSA Number]],Table1[SAPSA number],Table1[Name])</f>
        <v>Gary Athol</v>
      </c>
      <c r="E25" s="39" t="str">
        <f>_xlfn.XLOOKUP(__xlnm._FilterDatabase_1514[[#This Row],[SAPSA Number]],Table1[SAPSA number],Table1[Surname])</f>
        <v>Hagemann</v>
      </c>
      <c r="F25" s="28" t="str">
        <f>_xlfn.XLOOKUP(__xlnm._FilterDatabase_1514[[#This Row],[SAPSA Number]],Table1[SAPSA number],Table1[Initials])</f>
        <v>GA</v>
      </c>
      <c r="G25" s="17" t="str">
        <f ca="1">_xlfn.XLOOKUP(__xlnm._FilterDatabase_1514[[#This Row],[SAPSA Number]],Table1[SAPSA number],Table1[Gender])</f>
        <v>S</v>
      </c>
      <c r="H25" s="19" t="e">
        <f>_xlfn.XLOOKUP(__xlnm._FilterDatabase_1514[[#This Row],[SAPSA Number]],#REF!,#REF!)</f>
        <v>#REF!</v>
      </c>
      <c r="I25" s="19" t="s">
        <v>214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3"/>
        <v>4</v>
      </c>
      <c r="B26" s="25">
        <v>6308</v>
      </c>
      <c r="C26" s="25">
        <f>_xlfn.XLOOKUP(__xlnm._FilterDatabase_1514[[#This Row],[SAPSA Number]],Table1[SAPSA number],Table1[Paid up])</f>
        <v>0</v>
      </c>
      <c r="D26" s="39" t="str">
        <f>_xlfn.XLOOKUP(__xlnm._FilterDatabase_1514[[#This Row],[SAPSA Number]],Table1[SAPSA number],Table1[Name])</f>
        <v>James Matthew</v>
      </c>
      <c r="E26" s="39" t="str">
        <f>_xlfn.XLOOKUP(__xlnm._FilterDatabase_1514[[#This Row],[SAPSA Number]],Table1[SAPSA number],Table1[Surname])</f>
        <v>Hagemann</v>
      </c>
      <c r="F26" s="28" t="str">
        <f>_xlfn.XLOOKUP(__xlnm._FilterDatabase_1514[[#This Row],[SAPSA Number]],Table1[SAPSA number],Table1[Initials])</f>
        <v>JM</v>
      </c>
      <c r="G26" s="17" t="str">
        <f ca="1">_xlfn.XLOOKUP(__xlnm._FilterDatabase_1514[[#This Row],[SAPSA Number]],Table1[SAPSA number],Table1[Gender])</f>
        <v>Jnr</v>
      </c>
      <c r="H26" s="19" t="e">
        <f>_xlfn.XLOOKUP(__xlnm._FilterDatabase_1514[[#This Row],[SAPSA Number]],#REF!,#REF!)</f>
        <v>#REF!</v>
      </c>
      <c r="I26" s="19" t="s">
        <v>214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3"/>
        <v>4</v>
      </c>
      <c r="B27" s="40">
        <v>7328</v>
      </c>
      <c r="C27" s="25" t="str">
        <f>_xlfn.XLOOKUP(__xlnm._FilterDatabase_1514[[#This Row],[SAPSA Number]],Table1[SAPSA number],Table1[Paid up])</f>
        <v>Y</v>
      </c>
      <c r="D27" s="39" t="str">
        <f>_xlfn.XLOOKUP(__xlnm._FilterDatabase_1514[[#This Row],[SAPSA Number]],Table1[SAPSA number],Table1[Name])</f>
        <v>Sizwe</v>
      </c>
      <c r="E27" s="39" t="str">
        <f>_xlfn.XLOOKUP(__xlnm._FilterDatabase_1514[[#This Row],[SAPSA Number]],Table1[SAPSA number],Table1[Surname])</f>
        <v>Hlongwane</v>
      </c>
      <c r="F27" s="28" t="str">
        <f>_xlfn.XLOOKUP(__xlnm._FilterDatabase_1514[[#This Row],[SAPSA Number]],Table1[SAPSA number],Table1[Initials])</f>
        <v>S</v>
      </c>
      <c r="G27" s="17" t="str">
        <f ca="1">_xlfn.XLOOKUP(__xlnm._FilterDatabase_1514[[#This Row],[SAPSA Number]],Table1[SAPSA number],Table1[Gender])</f>
        <v xml:space="preserve"> </v>
      </c>
      <c r="H27" s="19" t="e">
        <f>_xlfn.XLOOKUP(__xlnm._FilterDatabase_1514[[#This Row],[SAPSA Number]],#REF!,#REF!)</f>
        <v>#REF!</v>
      </c>
      <c r="I27" s="19" t="s">
        <v>214</v>
      </c>
      <c r="J27" s="21">
        <f t="shared" si="1"/>
        <v>0</v>
      </c>
      <c r="K27" s="22">
        <f t="shared" si="2"/>
        <v>0</v>
      </c>
      <c r="L27" s="79">
        <v>0</v>
      </c>
      <c r="M27" s="80">
        <v>0</v>
      </c>
      <c r="N27" s="79">
        <v>0</v>
      </c>
      <c r="O27" s="80">
        <v>0</v>
      </c>
      <c r="P27" s="79">
        <v>0</v>
      </c>
      <c r="Q27" s="80">
        <v>0</v>
      </c>
      <c r="R27" s="79">
        <v>0</v>
      </c>
      <c r="S27" s="80">
        <v>0</v>
      </c>
      <c r="T27" s="79">
        <v>0</v>
      </c>
      <c r="U27" s="80">
        <v>0</v>
      </c>
      <c r="V27" s="79">
        <v>0</v>
      </c>
      <c r="W27" s="80">
        <v>0</v>
      </c>
    </row>
    <row r="28" spans="1:23" ht="14.4" customHeight="1" x14ac:dyDescent="0.3">
      <c r="A28" s="17">
        <f t="shared" si="3"/>
        <v>4</v>
      </c>
      <c r="B28" s="25">
        <v>7271</v>
      </c>
      <c r="C28" s="25" t="str">
        <f>_xlfn.XLOOKUP(__xlnm._FilterDatabase_1514[[#This Row],[SAPSA Number]],Table1[SAPSA number],Table1[Paid up])</f>
        <v>Y</v>
      </c>
      <c r="D28" s="39" t="str">
        <f>_xlfn.XLOOKUP(__xlnm._FilterDatabase_1514[[#This Row],[SAPSA Number]],Table1[SAPSA number],Table1[Name])</f>
        <v>Johan</v>
      </c>
      <c r="E28" s="39" t="str">
        <f>_xlfn.XLOOKUP(__xlnm._FilterDatabase_1514[[#This Row],[SAPSA Number]],Table1[SAPSA number],Table1[Surname])</f>
        <v>Jacobs</v>
      </c>
      <c r="F28" s="28" t="str">
        <f>_xlfn.XLOOKUP(__xlnm._FilterDatabase_1514[[#This Row],[SAPSA Number]],Table1[SAPSA number],Table1[Initials])</f>
        <v>J</v>
      </c>
      <c r="G28" s="17" t="str">
        <f ca="1">_xlfn.XLOOKUP(__xlnm._FilterDatabase_1514[[#This Row],[SAPSA Number]],Table1[SAPSA number],Table1[Gender])</f>
        <v xml:space="preserve"> </v>
      </c>
      <c r="H28" s="19" t="e">
        <f>_xlfn.XLOOKUP(__xlnm._FilterDatabase_1514[[#This Row],[SAPSA Number]],#REF!,#REF!)</f>
        <v>#REF!</v>
      </c>
      <c r="I28" s="19" t="s">
        <v>214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3"/>
        <v>4</v>
      </c>
      <c r="B29" s="25">
        <v>2655</v>
      </c>
      <c r="C29" s="25" t="str">
        <f>_xlfn.XLOOKUP(__xlnm._FilterDatabase_1514[[#This Row],[SAPSA Number]],Table1[SAPSA number],Table1[Paid up])</f>
        <v>Y</v>
      </c>
      <c r="D29" s="39" t="str">
        <f>_xlfn.XLOOKUP(__xlnm._FilterDatabase_1514[[#This Row],[SAPSA Number]],Table1[SAPSA number],Table1[Name])</f>
        <v>Ruben</v>
      </c>
      <c r="E29" s="39" t="str">
        <f>_xlfn.XLOOKUP(__xlnm._FilterDatabase_1514[[#This Row],[SAPSA Number]],Table1[SAPSA number],Table1[Surname])</f>
        <v>Joubert</v>
      </c>
      <c r="F29" s="28" t="str">
        <f>_xlfn.XLOOKUP(__xlnm._FilterDatabase_1514[[#This Row],[SAPSA Number]],Table1[SAPSA number],Table1[Initials])</f>
        <v>R</v>
      </c>
      <c r="G29" s="17" t="str">
        <f ca="1">_xlfn.XLOOKUP(__xlnm._FilterDatabase_1514[[#This Row],[SAPSA Number]],Table1[SAPSA number],Table1[Gender])</f>
        <v>Jnr</v>
      </c>
      <c r="H29" s="19" t="e">
        <f>_xlfn.XLOOKUP(__xlnm._FilterDatabase_1514[[#This Row],[SAPSA Number]],#REF!,#REF!)</f>
        <v>#REF!</v>
      </c>
      <c r="I29" s="19" t="s">
        <v>214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3"/>
        <v>4</v>
      </c>
      <c r="B30" s="18">
        <v>3339</v>
      </c>
      <c r="C30" s="25" t="str">
        <f>_xlfn.XLOOKUP(__xlnm._FilterDatabase_1514[[#This Row],[SAPSA Number]],Table1[SAPSA number],Table1[Paid up])</f>
        <v>Y</v>
      </c>
      <c r="D30" s="39" t="str">
        <f>_xlfn.XLOOKUP(__xlnm._FilterDatabase_1514[[#This Row],[SAPSA Number]],Table1[SAPSA number],Table1[Name])</f>
        <v>Hendrik Johannes</v>
      </c>
      <c r="E30" s="39" t="str">
        <f>_xlfn.XLOOKUP(__xlnm._FilterDatabase_1514[[#This Row],[SAPSA Number]],Table1[SAPSA number],Table1[Surname])</f>
        <v>Joubert</v>
      </c>
      <c r="F30" s="28" t="str">
        <f>_xlfn.XLOOKUP(__xlnm._FilterDatabase_1514[[#This Row],[SAPSA Number]],Table1[SAPSA number],Table1[Initials])</f>
        <v>HJ</v>
      </c>
      <c r="G30" s="17" t="str">
        <f ca="1">_xlfn.XLOOKUP(__xlnm._FilterDatabase_1514[[#This Row],[SAPSA Number]],Table1[SAPSA number],Table1[Gender])</f>
        <v>S</v>
      </c>
      <c r="H30" s="19" t="e">
        <f>_xlfn.XLOOKUP(__xlnm._FilterDatabase_1514[[#This Row],[SAPSA Number]],#REF!,#REF!)</f>
        <v>#REF!</v>
      </c>
      <c r="I30" s="19" t="s">
        <v>214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4</v>
      </c>
      <c r="B31" s="25">
        <v>4094</v>
      </c>
      <c r="C31" s="25" t="str">
        <f>_xlfn.XLOOKUP(__xlnm._FilterDatabase_1514[[#This Row],[SAPSA Number]],Table1[SAPSA number],Table1[Paid up])</f>
        <v>Y</v>
      </c>
      <c r="D31" s="39" t="str">
        <f>_xlfn.XLOOKUP(__xlnm._FilterDatabase_1514[[#This Row],[SAPSA Number]],Table1[SAPSA number],Table1[Name])</f>
        <v>Johan</v>
      </c>
      <c r="E31" s="39" t="str">
        <f>_xlfn.XLOOKUP(__xlnm._FilterDatabase_1514[[#This Row],[SAPSA Number]],Table1[SAPSA number],Table1[Surname])</f>
        <v>Kemp</v>
      </c>
      <c r="F31" s="28" t="str">
        <f>_xlfn.XLOOKUP(__xlnm._FilterDatabase_1514[[#This Row],[SAPSA Number]],Table1[SAPSA number],Table1[Initials])</f>
        <v>J</v>
      </c>
      <c r="G31" s="17" t="str">
        <f ca="1">_xlfn.XLOOKUP(__xlnm._FilterDatabase_1514[[#This Row],[SAPSA Number]],Table1[SAPSA number],Table1[Gender])</f>
        <v xml:space="preserve"> </v>
      </c>
      <c r="H31" s="19" t="e">
        <f>_xlfn.XLOOKUP(__xlnm._FilterDatabase_1514[[#This Row],[SAPSA Number]],#REF!,#REF!)</f>
        <v>#REF!</v>
      </c>
      <c r="I31" s="19" t="s">
        <v>214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4</v>
      </c>
      <c r="B32" s="25">
        <v>6968</v>
      </c>
      <c r="C32" s="25" t="str">
        <f>_xlfn.XLOOKUP(__xlnm._FilterDatabase_1514[[#This Row],[SAPSA Number]],Table1[SAPSA number],Table1[Paid up])</f>
        <v>Y</v>
      </c>
      <c r="D32" s="39" t="str">
        <f>_xlfn.XLOOKUP(__xlnm._FilterDatabase_1514[[#This Row],[SAPSA Number]],Table1[SAPSA number],Table1[Name])</f>
        <v>Ian John</v>
      </c>
      <c r="E32" s="39" t="str">
        <f>_xlfn.XLOOKUP(__xlnm._FilterDatabase_1514[[#This Row],[SAPSA Number]],Table1[SAPSA number],Table1[Surname])</f>
        <v>Kewley</v>
      </c>
      <c r="F32" s="28" t="str">
        <f>_xlfn.XLOOKUP(__xlnm._FilterDatabase_1514[[#This Row],[SAPSA Number]],Table1[SAPSA number],Table1[Initials])</f>
        <v>IJ</v>
      </c>
      <c r="G32" s="17" t="str">
        <f ca="1">_xlfn.XLOOKUP(__xlnm._FilterDatabase_1514[[#This Row],[SAPSA Number]],Table1[SAPSA number],Table1[Gender])</f>
        <v xml:space="preserve"> </v>
      </c>
      <c r="H32" s="19" t="e">
        <f>_xlfn.XLOOKUP(__xlnm._FilterDatabase_1514[[#This Row],[SAPSA Number]],#REF!,#REF!)</f>
        <v>#REF!</v>
      </c>
      <c r="I32" s="19" t="s">
        <v>214</v>
      </c>
      <c r="J32" s="21">
        <f t="shared" si="1"/>
        <v>0</v>
      </c>
      <c r="K32" s="22">
        <f t="shared" si="2"/>
        <v>0</v>
      </c>
      <c r="L32" s="79">
        <v>0</v>
      </c>
      <c r="M32" s="80">
        <v>0</v>
      </c>
      <c r="N32" s="79">
        <v>0</v>
      </c>
      <c r="O32" s="80">
        <v>0</v>
      </c>
      <c r="P32" s="79">
        <v>0</v>
      </c>
      <c r="Q32" s="80">
        <v>0</v>
      </c>
      <c r="R32" s="79">
        <v>0</v>
      </c>
      <c r="S32" s="80">
        <v>0</v>
      </c>
      <c r="T32" s="79">
        <v>0</v>
      </c>
      <c r="U32" s="80">
        <v>0</v>
      </c>
      <c r="V32" s="79">
        <v>0</v>
      </c>
      <c r="W32" s="80">
        <v>0</v>
      </c>
    </row>
    <row r="33" spans="1:23" ht="14.4" customHeight="1" x14ac:dyDescent="0.3">
      <c r="A33" s="17">
        <f t="shared" si="3"/>
        <v>4</v>
      </c>
      <c r="B33" s="27">
        <v>7260</v>
      </c>
      <c r="C33" s="25">
        <f>_xlfn.XLOOKUP(__xlnm._FilterDatabase_1514[[#This Row],[SAPSA Number]],Table1[SAPSA number],Table1[Paid up])</f>
        <v>0</v>
      </c>
      <c r="D33" s="39" t="str">
        <f>_xlfn.XLOOKUP(__xlnm._FilterDatabase_1514[[#This Row],[SAPSA Number]],Table1[SAPSA number],Table1[Name])</f>
        <v>Glenn</v>
      </c>
      <c r="E33" s="39" t="str">
        <f>_xlfn.XLOOKUP(__xlnm._FilterDatabase_1514[[#This Row],[SAPSA Number]],Table1[SAPSA number],Table1[Surname])</f>
        <v>Kieser</v>
      </c>
      <c r="F33" s="28" t="str">
        <f>_xlfn.XLOOKUP(__xlnm._FilterDatabase_1514[[#This Row],[SAPSA Number]],Table1[SAPSA number],Table1[Initials])</f>
        <v>G</v>
      </c>
      <c r="G33" s="17" t="str">
        <f ca="1">_xlfn.XLOOKUP(__xlnm._FilterDatabase_1514[[#This Row],[SAPSA Number]],Table1[SAPSA number],Table1[Gender])</f>
        <v>SS</v>
      </c>
      <c r="H33" s="19" t="e">
        <f>_xlfn.XLOOKUP(__xlnm._FilterDatabase_1514[[#This Row],[SAPSA Number]],#REF!,#REF!)</f>
        <v>#REF!</v>
      </c>
      <c r="I33" s="19" t="s">
        <v>214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3"/>
        <v>4</v>
      </c>
      <c r="B34" s="25">
        <v>252</v>
      </c>
      <c r="C34" s="25" t="str">
        <f>_xlfn.XLOOKUP(__xlnm._FilterDatabase_1514[[#This Row],[SAPSA Number]],Table1[SAPSA number],Table1[Paid up])</f>
        <v>Y</v>
      </c>
      <c r="D34" s="39" t="str">
        <f>_xlfn.XLOOKUP(__xlnm._FilterDatabase_1514[[#This Row],[SAPSA Number]],Table1[SAPSA number],Table1[Name])</f>
        <v>Deon</v>
      </c>
      <c r="E34" s="39" t="str">
        <f>_xlfn.XLOOKUP(__xlnm._FilterDatabase_1514[[#This Row],[SAPSA Number]],Table1[SAPSA number],Table1[Surname])</f>
        <v>Labuschagne</v>
      </c>
      <c r="F34" s="28" t="str">
        <f>_xlfn.XLOOKUP(__xlnm._FilterDatabase_1514[[#This Row],[SAPSA Number]],Table1[SAPSA number],Table1[Initials])</f>
        <v>D</v>
      </c>
      <c r="G34" s="17" t="str">
        <f ca="1">_xlfn.XLOOKUP(__xlnm._FilterDatabase_1514[[#This Row],[SAPSA Number]],Table1[SAPSA number],Table1[Gender])</f>
        <v>GS</v>
      </c>
      <c r="H34" s="19" t="e">
        <f>_xlfn.XLOOKUP(__xlnm._FilterDatabase_1514[[#This Row],[SAPSA Number]],#REF!,#REF!)</f>
        <v>#REF!</v>
      </c>
      <c r="I34" s="19" t="s">
        <v>214</v>
      </c>
      <c r="J34" s="21">
        <f t="shared" ref="J34:J66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3"/>
        <v>4</v>
      </c>
      <c r="B35" s="18">
        <v>2651</v>
      </c>
      <c r="C35" s="25" t="str">
        <f>_xlfn.XLOOKUP(__xlnm._FilterDatabase_1514[[#This Row],[SAPSA Number]],Table1[SAPSA number],Table1[Paid up])</f>
        <v>Y</v>
      </c>
      <c r="D35" s="39" t="str">
        <f>_xlfn.XLOOKUP(__xlnm._FilterDatabase_1514[[#This Row],[SAPSA Number]],Table1[SAPSA number],Table1[Name])</f>
        <v>Paul Herman</v>
      </c>
      <c r="E35" s="39" t="str">
        <f>_xlfn.XLOOKUP(__xlnm._FilterDatabase_1514[[#This Row],[SAPSA Number]],Table1[SAPSA number],Table1[Surname])</f>
        <v>Leuschner</v>
      </c>
      <c r="F35" s="28" t="str">
        <f>_xlfn.XLOOKUP(__xlnm._FilterDatabase_1514[[#This Row],[SAPSA Number]],Table1[SAPSA number],Table1[Initials])</f>
        <v>PH</v>
      </c>
      <c r="G35" s="17" t="str">
        <f ca="1">_xlfn.XLOOKUP(__xlnm._FilterDatabase_1514[[#This Row],[SAPSA Number]],Table1[SAPSA number],Table1[Gender])</f>
        <v>S</v>
      </c>
      <c r="H35" s="19" t="e">
        <f>_xlfn.XLOOKUP(__xlnm._FilterDatabase_1514[[#This Row],[SAPSA Number]],#REF!,#REF!)</f>
        <v>#REF!</v>
      </c>
      <c r="I35" s="19" t="s">
        <v>214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3"/>
        <v>4</v>
      </c>
      <c r="B36" s="25">
        <v>683</v>
      </c>
      <c r="C36" s="25">
        <f>_xlfn.XLOOKUP(__xlnm._FilterDatabase_1514[[#This Row],[SAPSA Number]],Table1[SAPSA number],Table1[Paid up])</f>
        <v>0</v>
      </c>
      <c r="D36" s="39" t="str">
        <f>_xlfn.XLOOKUP(__xlnm._FilterDatabase_1514[[#This Row],[SAPSA Number]],Table1[SAPSA number],Table1[Name])</f>
        <v>Ivor</v>
      </c>
      <c r="E36" s="39" t="str">
        <f>_xlfn.XLOOKUP(__xlnm._FilterDatabase_1514[[#This Row],[SAPSA Number]],Table1[SAPSA number],Table1[Surname])</f>
        <v>Marais</v>
      </c>
      <c r="F36" s="28" t="str">
        <f>_xlfn.XLOOKUP(__xlnm._FilterDatabase_1514[[#This Row],[SAPSA Number]],Table1[SAPSA number],Table1[Initials])</f>
        <v>I</v>
      </c>
      <c r="G36" s="17" t="str">
        <f ca="1">_xlfn.XLOOKUP(__xlnm._FilterDatabase_1514[[#This Row],[SAPSA Number]],Table1[SAPSA number],Table1[Gender])</f>
        <v>S</v>
      </c>
      <c r="H36" s="19" t="e">
        <f>_xlfn.XLOOKUP(__xlnm._FilterDatabase_1514[[#This Row],[SAPSA Number]],#REF!,#REF!)</f>
        <v>#REF!</v>
      </c>
      <c r="I36" s="19" t="s">
        <v>214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4</v>
      </c>
      <c r="B37" s="18">
        <v>6966</v>
      </c>
      <c r="C37" s="25" t="str">
        <f>_xlfn.XLOOKUP(__xlnm._FilterDatabase_1514[[#This Row],[SAPSA Number]],Table1[SAPSA number],Table1[Paid up])</f>
        <v>Y</v>
      </c>
      <c r="D37" s="39" t="str">
        <f>_xlfn.XLOOKUP(__xlnm._FilterDatabase_1514[[#This Row],[SAPSA Number]],Table1[SAPSA number],Table1[Name])</f>
        <v>James</v>
      </c>
      <c r="E37" s="39" t="str">
        <f>_xlfn.XLOOKUP(__xlnm._FilterDatabase_1514[[#This Row],[SAPSA Number]],Table1[SAPSA number],Table1[Surname])</f>
        <v>Masonganye</v>
      </c>
      <c r="F37" s="28" t="str">
        <f>_xlfn.XLOOKUP(__xlnm._FilterDatabase_1514[[#This Row],[SAPSA Number]],Table1[SAPSA number],Table1[Initials])</f>
        <v>J</v>
      </c>
      <c r="G37" s="17" t="str">
        <f ca="1">_xlfn.XLOOKUP(__xlnm._FilterDatabase_1514[[#This Row],[SAPSA Number]],Table1[SAPSA number],Table1[Gender])</f>
        <v>S</v>
      </c>
      <c r="H37" s="39" t="e">
        <f ca="1">_xlfn.XLOOKUP(__xlnm._FilterDatabase_1514[[#This Row],[Tag]],#REF!,#REF!)</f>
        <v>#REF!</v>
      </c>
      <c r="I37" s="19" t="s">
        <v>214</v>
      </c>
      <c r="J37" s="21">
        <f t="shared" si="4"/>
        <v>0</v>
      </c>
      <c r="K37" s="22">
        <f t="shared" si="5"/>
        <v>0</v>
      </c>
      <c r="L37" s="79">
        <v>0</v>
      </c>
      <c r="M37" s="80">
        <v>0</v>
      </c>
      <c r="N37" s="79">
        <v>0</v>
      </c>
      <c r="O37" s="80">
        <v>0</v>
      </c>
      <c r="P37" s="79">
        <v>0</v>
      </c>
      <c r="Q37" s="80">
        <v>0</v>
      </c>
      <c r="R37" s="79">
        <v>0</v>
      </c>
      <c r="S37" s="80">
        <v>0</v>
      </c>
      <c r="T37" s="79">
        <v>0</v>
      </c>
      <c r="U37" s="80">
        <v>0</v>
      </c>
      <c r="V37" s="79">
        <v>0</v>
      </c>
      <c r="W37" s="80">
        <v>0</v>
      </c>
    </row>
    <row r="38" spans="1:23" ht="14.4" customHeight="1" x14ac:dyDescent="0.3">
      <c r="A38" s="17">
        <f t="shared" si="3"/>
        <v>4</v>
      </c>
      <c r="B38" s="26">
        <v>7132</v>
      </c>
      <c r="C38" s="25" t="str">
        <f>_xlfn.XLOOKUP(__xlnm._FilterDatabase_1514[[#This Row],[SAPSA Number]],Table1[SAPSA number],Table1[Paid up])</f>
        <v>Y</v>
      </c>
      <c r="D38" s="39" t="str">
        <f>_xlfn.XLOOKUP(__xlnm._FilterDatabase_1514[[#This Row],[SAPSA Number]],Table1[SAPSA number],Table1[Name])</f>
        <v>Yussuf</v>
      </c>
      <c r="E38" s="39" t="str">
        <f>_xlfn.XLOOKUP(__xlnm._FilterDatabase_1514[[#This Row],[SAPSA Number]],Table1[SAPSA number],Table1[Surname])</f>
        <v>Mayet</v>
      </c>
      <c r="F38" s="28" t="str">
        <f>_xlfn.XLOOKUP(__xlnm._FilterDatabase_1514[[#This Row],[SAPSA Number]],Table1[SAPSA number],Table1[Initials])</f>
        <v>Y</v>
      </c>
      <c r="G38" s="17" t="str">
        <f ca="1">_xlfn.XLOOKUP(__xlnm._FilterDatabase_1514[[#This Row],[SAPSA Number]],Table1[SAPSA number],Table1[Gender])</f>
        <v>GS</v>
      </c>
      <c r="H38" s="19" t="e">
        <f>_xlfn.XLOOKUP(__xlnm._FilterDatabase_1514[[#This Row],[SAPSA Number]],#REF!,#REF!)</f>
        <v>#REF!</v>
      </c>
      <c r="I38" s="19" t="s">
        <v>214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4</v>
      </c>
      <c r="B39" s="26">
        <v>851</v>
      </c>
      <c r="C39" s="25" t="str">
        <f>_xlfn.XLOOKUP(__xlnm._FilterDatabase_1514[[#This Row],[SAPSA Number]],Table1[SAPSA number],Table1[Paid up])</f>
        <v>Y</v>
      </c>
      <c r="D39" s="39" t="str">
        <f>_xlfn.XLOOKUP(__xlnm._FilterDatabase_1514[[#This Row],[SAPSA Number]],Table1[SAPSA number],Table1[Name])</f>
        <v>Ian David</v>
      </c>
      <c r="E39" s="39" t="str">
        <f>_xlfn.XLOOKUP(__xlnm._FilterDatabase_1514[[#This Row],[SAPSA Number]],Table1[SAPSA number],Table1[Surname])</f>
        <v>McLaren</v>
      </c>
      <c r="F39" s="28" t="str">
        <f>_xlfn.XLOOKUP(__xlnm._FilterDatabase_1514[[#This Row],[SAPSA Number]],Table1[SAPSA number],Table1[Initials])</f>
        <v>ID</v>
      </c>
      <c r="G39" s="17" t="str">
        <f ca="1">_xlfn.XLOOKUP(__xlnm._FilterDatabase_1514[[#This Row],[SAPSA Number]],Table1[SAPSA number],Table1[Gender])</f>
        <v>SS</v>
      </c>
      <c r="H39" s="19" t="e">
        <f>_xlfn.XLOOKUP(__xlnm._FilterDatabase_1514[[#This Row],[SAPSA Number]],#REF!,#REF!)</f>
        <v>#REF!</v>
      </c>
      <c r="I39" s="19" t="s">
        <v>214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4</v>
      </c>
      <c r="B40" s="40">
        <v>5200</v>
      </c>
      <c r="C40" s="25">
        <f>_xlfn.XLOOKUP(__xlnm._FilterDatabase_1514[[#This Row],[SAPSA Number]],Table1[SAPSA number],Table1[Paid up])</f>
        <v>0</v>
      </c>
      <c r="D40" s="39" t="str">
        <f>_xlfn.XLOOKUP(__xlnm._FilterDatabase_1514[[#This Row],[SAPSA Number]],Table1[SAPSA number],Table1[Name])</f>
        <v>Daniel</v>
      </c>
      <c r="E40" s="39" t="str">
        <f>_xlfn.XLOOKUP(__xlnm._FilterDatabase_1514[[#This Row],[SAPSA Number]],Table1[SAPSA number],Table1[Surname])</f>
        <v>McWilliam</v>
      </c>
      <c r="F40" s="28" t="str">
        <f>_xlfn.XLOOKUP(__xlnm._FilterDatabase_1514[[#This Row],[SAPSA Number]],Table1[SAPSA number],Table1[Initials])</f>
        <v>D</v>
      </c>
      <c r="G40" s="17" t="str">
        <f ca="1">_xlfn.XLOOKUP(__xlnm._FilterDatabase_1514[[#This Row],[SAPSA Number]],Table1[SAPSA number],Table1[Gender])</f>
        <v xml:space="preserve"> </v>
      </c>
      <c r="H40" s="19" t="e">
        <f>_xlfn.XLOOKUP(__xlnm._FilterDatabase_1514[[#This Row],[SAPSA Number]],#REF!,#REF!)</f>
        <v>#REF!</v>
      </c>
      <c r="I40" s="19" t="s">
        <v>214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ref="A41:A66" si="6">RANK(K41,K$2:K$136,0)</f>
        <v>4</v>
      </c>
      <c r="B41" s="25">
        <v>1771</v>
      </c>
      <c r="C41" s="25" t="str">
        <f>_xlfn.XLOOKUP(__xlnm._FilterDatabase_1514[[#This Row],[SAPSA Number]],Table1[SAPSA number],Table1[Paid up])</f>
        <v>Y</v>
      </c>
      <c r="D41" s="39" t="str">
        <f>_xlfn.XLOOKUP(__xlnm._FilterDatabase_1514[[#This Row],[SAPSA Number]],Table1[SAPSA number],Table1[Name])</f>
        <v>Rodney Ralph</v>
      </c>
      <c r="E41" s="39" t="str">
        <f>_xlfn.XLOOKUP(__xlnm._FilterDatabase_1514[[#This Row],[SAPSA Number]],Table1[SAPSA number],Table1[Surname])</f>
        <v>Mills</v>
      </c>
      <c r="F41" s="28" t="str">
        <f>_xlfn.XLOOKUP(__xlnm._FilterDatabase_1514[[#This Row],[SAPSA Number]],Table1[SAPSA number],Table1[Initials])</f>
        <v>RR</v>
      </c>
      <c r="G41" s="17" t="str">
        <f ca="1">_xlfn.XLOOKUP(__xlnm._FilterDatabase_1514[[#This Row],[SAPSA Number]],Table1[SAPSA number],Table1[Gender])</f>
        <v>GS</v>
      </c>
      <c r="H41" s="19" t="e">
        <f>_xlfn.XLOOKUP(__xlnm._FilterDatabase_1514[[#This Row],[SAPSA Number]],#REF!,#REF!)</f>
        <v>#REF!</v>
      </c>
      <c r="I41" s="19" t="s">
        <v>214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 t="shared" si="6"/>
        <v>4</v>
      </c>
      <c r="B42" s="26">
        <v>1637</v>
      </c>
      <c r="C42" s="25">
        <f>_xlfn.XLOOKUP(__xlnm._FilterDatabase_1514[[#This Row],[SAPSA Number]],Table1[SAPSA number],Table1[Paid up])</f>
        <v>0</v>
      </c>
      <c r="D42" s="39" t="str">
        <f>_xlfn.XLOOKUP(__xlnm._FilterDatabase_1514[[#This Row],[SAPSA Number]],Table1[SAPSA number],Table1[Name])</f>
        <v>Andre Johann Pieter</v>
      </c>
      <c r="E42" s="39" t="str">
        <f>_xlfn.XLOOKUP(__xlnm._FilterDatabase_1514[[#This Row],[SAPSA Number]],Table1[SAPSA number],Table1[Surname])</f>
        <v>Mouton</v>
      </c>
      <c r="F42" s="28" t="str">
        <f>_xlfn.XLOOKUP(__xlnm._FilterDatabase_1514[[#This Row],[SAPSA Number]],Table1[SAPSA number],Table1[Initials])</f>
        <v>AJP</v>
      </c>
      <c r="G42" s="17" t="str">
        <f ca="1">_xlfn.XLOOKUP(__xlnm._FilterDatabase_1514[[#This Row],[SAPSA Number]],Table1[SAPSA number],Table1[Gender])</f>
        <v>GS</v>
      </c>
      <c r="H42" s="19" t="e">
        <f>_xlfn.XLOOKUP(__xlnm._FilterDatabase_1514[[#This Row],[SAPSA Number]],#REF!,#REF!)</f>
        <v>#REF!</v>
      </c>
      <c r="I42" s="19" t="s">
        <v>214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6"/>
        <v>4</v>
      </c>
      <c r="B43" s="40">
        <v>1777</v>
      </c>
      <c r="C43" s="25" t="str">
        <f>_xlfn.XLOOKUP(__xlnm._FilterDatabase_1514[[#This Row],[SAPSA Number]],Table1[SAPSA number],Table1[Paid up])</f>
        <v>Y</v>
      </c>
      <c r="D43" s="39" t="str">
        <f>_xlfn.XLOOKUP(__xlnm._FilterDatabase_1514[[#This Row],[SAPSA Number]],Table1[SAPSA number],Table1[Name])</f>
        <v xml:space="preserve">Leon </v>
      </c>
      <c r="E43" s="39" t="str">
        <f>_xlfn.XLOOKUP(__xlnm._FilterDatabase_1514[[#This Row],[SAPSA Number]],Table1[SAPSA number],Table1[Surname])</f>
        <v>Myburgh</v>
      </c>
      <c r="F43" s="28" t="str">
        <f>_xlfn.XLOOKUP(__xlnm._FilterDatabase_1514[[#This Row],[SAPSA Number]],Table1[SAPSA number],Table1[Initials])</f>
        <v>LC</v>
      </c>
      <c r="G43" s="17" t="str">
        <f ca="1">_xlfn.XLOOKUP(__xlnm._FilterDatabase_1514[[#This Row],[SAPSA Number]],Table1[SAPSA number],Table1[Gender])</f>
        <v>S</v>
      </c>
      <c r="H43" s="19" t="e">
        <f>_xlfn.XLOOKUP(__xlnm._FilterDatabase_1514[[#This Row],[SAPSA Number]],#REF!,#REF!)</f>
        <v>#REF!</v>
      </c>
      <c r="I43" s="19" t="s">
        <v>214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6"/>
        <v>4</v>
      </c>
      <c r="B44" s="25">
        <v>5804</v>
      </c>
      <c r="C44" s="25" t="str">
        <f>_xlfn.XLOOKUP(__xlnm._FilterDatabase_1514[[#This Row],[SAPSA Number]],Table1[SAPSA number],Table1[Paid up])</f>
        <v>Y</v>
      </c>
      <c r="D44" s="39" t="str">
        <f>_xlfn.XLOOKUP(__xlnm._FilterDatabase_1514[[#This Row],[SAPSA Number]],Table1[SAPSA number],Table1[Name])</f>
        <v>Louis Johannes</v>
      </c>
      <c r="E44" s="39" t="str">
        <f>_xlfn.XLOOKUP(__xlnm._FilterDatabase_1514[[#This Row],[SAPSA Number]],Table1[SAPSA number],Table1[Surname])</f>
        <v>Nel</v>
      </c>
      <c r="F44" s="28" t="str">
        <f>_xlfn.XLOOKUP(__xlnm._FilterDatabase_1514[[#This Row],[SAPSA Number]],Table1[SAPSA number],Table1[Initials])</f>
        <v>LJ</v>
      </c>
      <c r="G44" s="17" t="str">
        <f ca="1">_xlfn.XLOOKUP(__xlnm._FilterDatabase_1514[[#This Row],[SAPSA Number]],Table1[SAPSA number],Table1[Gender])</f>
        <v xml:space="preserve"> </v>
      </c>
      <c r="H44" s="19" t="e">
        <f>_xlfn.XLOOKUP(__xlnm._FilterDatabase_1514[[#This Row],[SAPSA Number]],#REF!,#REF!)</f>
        <v>#REF!</v>
      </c>
      <c r="I44" s="19" t="s">
        <v>214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6"/>
        <v>4</v>
      </c>
      <c r="B45" s="25">
        <v>250</v>
      </c>
      <c r="C45" s="25">
        <f>_xlfn.XLOOKUP(__xlnm._FilterDatabase_1514[[#This Row],[SAPSA Number]],Table1[SAPSA number],Table1[Paid up])</f>
        <v>0</v>
      </c>
      <c r="D45" s="39" t="str">
        <f>_xlfn.XLOOKUP(__xlnm._FilterDatabase_1514[[#This Row],[SAPSA Number]],Table1[SAPSA number],Table1[Name])</f>
        <v>Adriano Walter</v>
      </c>
      <c r="E45" s="39" t="str">
        <f>_xlfn.XLOOKUP(__xlnm._FilterDatabase_1514[[#This Row],[SAPSA Number]],Table1[SAPSA number],Table1[Surname])</f>
        <v>Paschini</v>
      </c>
      <c r="F45" s="28" t="str">
        <f>_xlfn.XLOOKUP(__xlnm._FilterDatabase_1514[[#This Row],[SAPSA Number]],Table1[SAPSA number],Table1[Initials])</f>
        <v>AW</v>
      </c>
      <c r="G45" s="17" t="str">
        <f ca="1">_xlfn.XLOOKUP(__xlnm._FilterDatabase_1514[[#This Row],[SAPSA Number]],Table1[SAPSA number],Table1[Gender])</f>
        <v>SS</v>
      </c>
      <c r="H45" s="19" t="e">
        <f>_xlfn.XLOOKUP(__xlnm._FilterDatabase_1514[[#This Row],[SAPSA Number]],#REF!,#REF!)</f>
        <v>#REF!</v>
      </c>
      <c r="I45" s="19" t="s">
        <v>214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25" customHeight="1" x14ac:dyDescent="0.3">
      <c r="A46" s="17">
        <f t="shared" si="6"/>
        <v>4</v>
      </c>
      <c r="B46" s="25">
        <v>6633</v>
      </c>
      <c r="C46" s="25">
        <f>_xlfn.XLOOKUP(__xlnm._FilterDatabase_1514[[#This Row],[SAPSA Number]],Table1[SAPSA number],Table1[Paid up])</f>
        <v>0</v>
      </c>
      <c r="D46" s="39" t="str">
        <f>_xlfn.XLOOKUP(__xlnm._FilterDatabase_1514[[#This Row],[SAPSA Number]],Table1[SAPSA number],Table1[Name])</f>
        <v>Allessandro Raffaele</v>
      </c>
      <c r="E46" s="39" t="str">
        <f>_xlfn.XLOOKUP(__xlnm._FilterDatabase_1514[[#This Row],[SAPSA Number]],Table1[SAPSA number],Table1[Surname])</f>
        <v>Paschini</v>
      </c>
      <c r="F46" s="28" t="str">
        <f>_xlfn.XLOOKUP(__xlnm._FilterDatabase_1514[[#This Row],[SAPSA Number]],Table1[SAPSA number],Table1[Initials])</f>
        <v>AR</v>
      </c>
      <c r="G46" s="17" t="str">
        <f ca="1">_xlfn.XLOOKUP(__xlnm._FilterDatabase_1514[[#This Row],[SAPSA Number]],Table1[SAPSA number],Table1[Gender])</f>
        <v xml:space="preserve"> </v>
      </c>
      <c r="H46" s="19" t="e">
        <f>_xlfn.XLOOKUP(__xlnm._FilterDatabase_1514[[#This Row],[SAPSA Number]],#REF!,#REF!)</f>
        <v>#REF!</v>
      </c>
      <c r="I46" s="19" t="s">
        <v>214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6"/>
        <v>4</v>
      </c>
      <c r="B47" s="25">
        <v>7478</v>
      </c>
      <c r="C47" s="25">
        <f>_xlfn.XLOOKUP(__xlnm._FilterDatabase_1514[[#This Row],[SAPSA Number]],Table1[SAPSA number],Table1[Paid up])</f>
        <v>0</v>
      </c>
      <c r="D47" s="39" t="str">
        <f>_xlfn.XLOOKUP(__xlnm._FilterDatabase_1514[[#This Row],[SAPSA Number]],Table1[SAPSA number],Table1[Name])</f>
        <v>Annemarie</v>
      </c>
      <c r="E47" s="39" t="str">
        <f>_xlfn.XLOOKUP(__xlnm._FilterDatabase_1514[[#This Row],[SAPSA Number]],Table1[SAPSA number],Table1[Surname])</f>
        <v>Pienaar</v>
      </c>
      <c r="F47" s="28" t="str">
        <f>_xlfn.XLOOKUP(__xlnm._FilterDatabase_1514[[#This Row],[SAPSA Number]],Table1[SAPSA number],Table1[Initials])</f>
        <v>A</v>
      </c>
      <c r="G47" s="17" t="str">
        <f>_xlfn.XLOOKUP(__xlnm._FilterDatabase_1514[[#This Row],[SAPSA Number]],Table1[SAPSA number],Table1[Gender])</f>
        <v>Lady</v>
      </c>
      <c r="H47" s="19" t="e">
        <f>_xlfn.XLOOKUP(__xlnm._FilterDatabase_1514[[#This Row],[SAPSA Number]],#REF!,#REF!)</f>
        <v>#REF!</v>
      </c>
      <c r="I47" s="19" t="s">
        <v>214</v>
      </c>
      <c r="J47" s="21">
        <f t="shared" si="4"/>
        <v>0</v>
      </c>
      <c r="K47" s="22">
        <f t="shared" si="5"/>
        <v>0</v>
      </c>
      <c r="L47" s="79">
        <v>0</v>
      </c>
      <c r="M47" s="80">
        <v>0</v>
      </c>
      <c r="N47" s="79">
        <v>0</v>
      </c>
      <c r="O47" s="80">
        <v>0</v>
      </c>
      <c r="P47" s="79">
        <v>0</v>
      </c>
      <c r="Q47" s="80">
        <v>0</v>
      </c>
      <c r="R47" s="79">
        <v>0</v>
      </c>
      <c r="S47" s="80">
        <v>0</v>
      </c>
      <c r="T47" s="79">
        <v>0</v>
      </c>
      <c r="U47" s="80">
        <v>0</v>
      </c>
      <c r="V47" s="79">
        <v>0</v>
      </c>
      <c r="W47" s="80">
        <v>0</v>
      </c>
    </row>
    <row r="48" spans="1:23" ht="14.4" customHeight="1" x14ac:dyDescent="0.3">
      <c r="A48" s="17">
        <f t="shared" si="6"/>
        <v>4</v>
      </c>
      <c r="B48" s="25">
        <v>2950</v>
      </c>
      <c r="C48" s="25">
        <f>_xlfn.XLOOKUP(__xlnm._FilterDatabase_1514[[#This Row],[SAPSA Number]],Table1[SAPSA number],Table1[Paid up])</f>
        <v>0</v>
      </c>
      <c r="D48" s="39" t="str">
        <f>_xlfn.XLOOKUP(__xlnm._FilterDatabase_1514[[#This Row],[SAPSA Number]],Table1[SAPSA number],Table1[Name])</f>
        <v>Renier Jansen</v>
      </c>
      <c r="E48" s="39" t="str">
        <f>_xlfn.XLOOKUP(__xlnm._FilterDatabase_1514[[#This Row],[SAPSA Number]],Table1[SAPSA number],Table1[Surname])</f>
        <v>Reynders</v>
      </c>
      <c r="F48" s="28" t="str">
        <f>_xlfn.XLOOKUP(__xlnm._FilterDatabase_1514[[#This Row],[SAPSA Number]],Table1[SAPSA number],Table1[Initials])</f>
        <v>RJ</v>
      </c>
      <c r="G48" s="17" t="str">
        <f ca="1">_xlfn.XLOOKUP(__xlnm._FilterDatabase_1514[[#This Row],[SAPSA Number]],Table1[SAPSA number],Table1[Gender])</f>
        <v xml:space="preserve"> </v>
      </c>
      <c r="H48" s="19" t="e">
        <f>_xlfn.XLOOKUP(__xlnm._FilterDatabase_1514[[#This Row],[SAPSA Number]],#REF!,#REF!)</f>
        <v>#REF!</v>
      </c>
      <c r="I48" s="19" t="s">
        <v>214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6"/>
        <v>4</v>
      </c>
      <c r="B49" s="25">
        <v>1929</v>
      </c>
      <c r="C49" s="25">
        <f>_xlfn.XLOOKUP(__xlnm._FilterDatabase_1514[[#This Row],[SAPSA Number]],Table1[SAPSA number],Table1[Paid up])</f>
        <v>0</v>
      </c>
      <c r="D49" s="39" t="str">
        <f>_xlfn.XLOOKUP(__xlnm._FilterDatabase_1514[[#This Row],[SAPSA Number]],Table1[SAPSA number],Table1[Name])</f>
        <v>Chris</v>
      </c>
      <c r="E49" s="39" t="str">
        <f>_xlfn.XLOOKUP(__xlnm._FilterDatabase_1514[[#This Row],[SAPSA Number]],Table1[SAPSA number],Table1[Surname])</f>
        <v>Ridout</v>
      </c>
      <c r="F49" s="28" t="str">
        <f>_xlfn.XLOOKUP(__xlnm._FilterDatabase_1514[[#This Row],[SAPSA Number]],Table1[SAPSA number],Table1[Initials])</f>
        <v>CJ</v>
      </c>
      <c r="G49" s="17" t="str">
        <f ca="1">_xlfn.XLOOKUP(__xlnm._FilterDatabase_1514[[#This Row],[SAPSA Number]],Table1[SAPSA number],Table1[Gender])</f>
        <v xml:space="preserve"> </v>
      </c>
      <c r="H49" s="19" t="e">
        <f>_xlfn.XLOOKUP(__xlnm._FilterDatabase_1514[[#This Row],[SAPSA Number]],#REF!,#REF!)</f>
        <v>#REF!</v>
      </c>
      <c r="I49" s="19" t="s">
        <v>214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6"/>
        <v>4</v>
      </c>
      <c r="B50" s="25">
        <v>3822</v>
      </c>
      <c r="C50" s="25" t="str">
        <f>_xlfn.XLOOKUP(__xlnm._FilterDatabase_1514[[#This Row],[SAPSA Number]],Table1[SAPSA number],Table1[Paid up])</f>
        <v>Y</v>
      </c>
      <c r="D50" s="39" t="str">
        <f>_xlfn.XLOOKUP(__xlnm._FilterDatabase_1514[[#This Row],[SAPSA Number]],Table1[SAPSA number],Table1[Name])</f>
        <v>Wayne Erald</v>
      </c>
      <c r="E50" s="39" t="str">
        <f>_xlfn.XLOOKUP(__xlnm._FilterDatabase_1514[[#This Row],[SAPSA Number]],Table1[SAPSA number],Table1[Surname])</f>
        <v>Schmidt</v>
      </c>
      <c r="F50" s="28" t="str">
        <f>_xlfn.XLOOKUP(__xlnm._FilterDatabase_1514[[#This Row],[SAPSA Number]],Table1[SAPSA number],Table1[Initials])</f>
        <v>WE</v>
      </c>
      <c r="G50" s="17" t="str">
        <f ca="1">_xlfn.XLOOKUP(__xlnm._FilterDatabase_1514[[#This Row],[SAPSA Number]],Table1[SAPSA number],Table1[Gender])</f>
        <v>S</v>
      </c>
      <c r="H50" s="19" t="e">
        <f>_xlfn.XLOOKUP(__xlnm._FilterDatabase_1514[[#This Row],[SAPSA Number]],#REF!,#REF!)</f>
        <v>#REF!</v>
      </c>
      <c r="I50" s="19" t="s">
        <v>214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6"/>
        <v>4</v>
      </c>
      <c r="B51" s="25">
        <v>4966</v>
      </c>
      <c r="C51" s="25" t="str">
        <f>_xlfn.XLOOKUP(__xlnm._FilterDatabase_1514[[#This Row],[SAPSA Number]],Table1[SAPSA number],Table1[Paid up])</f>
        <v>Y</v>
      </c>
      <c r="D51" s="39" t="str">
        <f>_xlfn.XLOOKUP(__xlnm._FilterDatabase_1514[[#This Row],[SAPSA Number]],Table1[SAPSA number],Table1[Name])</f>
        <v>Costantinos</v>
      </c>
      <c r="E51" s="39" t="str">
        <f>_xlfn.XLOOKUP(__xlnm._FilterDatabase_1514[[#This Row],[SAPSA Number]],Table1[SAPSA number],Table1[Surname])</f>
        <v>Seindis</v>
      </c>
      <c r="F51" s="28" t="str">
        <f>_xlfn.XLOOKUP(__xlnm._FilterDatabase_1514[[#This Row],[SAPSA Number]],Table1[SAPSA number],Table1[Initials])</f>
        <v>C</v>
      </c>
      <c r="G51" s="17" t="str">
        <f ca="1">_xlfn.XLOOKUP(__xlnm._FilterDatabase_1514[[#This Row],[SAPSA Number]],Table1[SAPSA number],Table1[Gender])</f>
        <v xml:space="preserve"> </v>
      </c>
      <c r="H51" s="19" t="e">
        <f>_xlfn.XLOOKUP(__xlnm._FilterDatabase_1514[[#This Row],[SAPSA Number]],#REF!,#REF!)</f>
        <v>#REF!</v>
      </c>
      <c r="I51" s="19" t="s">
        <v>214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6"/>
        <v>4</v>
      </c>
      <c r="B52" s="25">
        <v>572</v>
      </c>
      <c r="C52" s="25" t="str">
        <f>_xlfn.XLOOKUP(__xlnm._FilterDatabase_1514[[#This Row],[SAPSA Number]],Table1[SAPSA number],Table1[Paid up])</f>
        <v>Y</v>
      </c>
      <c r="D52" s="39" t="str">
        <f>_xlfn.XLOOKUP(__xlnm._FilterDatabase_1514[[#This Row],[SAPSA Number]],Table1[SAPSA number],Table1[Name])</f>
        <v>DJ</v>
      </c>
      <c r="E52" s="39" t="str">
        <f>_xlfn.XLOOKUP(__xlnm._FilterDatabase_1514[[#This Row],[SAPSA Number]],Table1[SAPSA number],Table1[Surname])</f>
        <v>Smith</v>
      </c>
      <c r="F52" s="28" t="str">
        <f>_xlfn.XLOOKUP(__xlnm._FilterDatabase_1514[[#This Row],[SAPSA Number]],Table1[SAPSA number],Table1[Initials])</f>
        <v>DJ</v>
      </c>
      <c r="G52" s="17" t="str">
        <f ca="1">_xlfn.XLOOKUP(__xlnm._FilterDatabase_1514[[#This Row],[SAPSA Number]],Table1[SAPSA number],Table1[Gender])</f>
        <v>SS</v>
      </c>
      <c r="H52" s="19" t="e">
        <f>_xlfn.XLOOKUP(__xlnm._FilterDatabase_1514[[#This Row],[SAPSA Number]],#REF!,#REF!)</f>
        <v>#REF!</v>
      </c>
      <c r="I52" s="19" t="s">
        <v>214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6"/>
        <v>4</v>
      </c>
      <c r="B53" s="25">
        <v>1321</v>
      </c>
      <c r="C53" s="25">
        <f>_xlfn.XLOOKUP(__xlnm._FilterDatabase_1514[[#This Row],[SAPSA Number]],Table1[SAPSA number],Table1[Paid up])</f>
        <v>0</v>
      </c>
      <c r="D53" s="39" t="str">
        <f>_xlfn.XLOOKUP(__xlnm._FilterDatabase_1514[[#This Row],[SAPSA Number]],Table1[SAPSA number],Table1[Name])</f>
        <v>Neal Monisen</v>
      </c>
      <c r="E53" s="39" t="str">
        <f>_xlfn.XLOOKUP(__xlnm._FilterDatabase_1514[[#This Row],[SAPSA Number]],Table1[SAPSA number],Table1[Surname])</f>
        <v>Sokay</v>
      </c>
      <c r="F53" s="28" t="str">
        <f>_xlfn.XLOOKUP(__xlnm._FilterDatabase_1514[[#This Row],[SAPSA Number]],Table1[SAPSA number],Table1[Initials])</f>
        <v>NM</v>
      </c>
      <c r="G53" s="17" t="str">
        <f ca="1">_xlfn.XLOOKUP(__xlnm._FilterDatabase_1514[[#This Row],[SAPSA Number]],Table1[SAPSA number],Table1[Gender])</f>
        <v>S</v>
      </c>
      <c r="H53" s="19" t="e">
        <f>_xlfn.XLOOKUP(__xlnm._FilterDatabase_1514[[#This Row],[SAPSA Number]],#REF!,#REF!)</f>
        <v>#REF!</v>
      </c>
      <c r="I53" s="19" t="s">
        <v>214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6"/>
        <v>4</v>
      </c>
      <c r="B54" s="25">
        <v>3832</v>
      </c>
      <c r="C54" s="25" t="str">
        <f>_xlfn.XLOOKUP(__xlnm._FilterDatabase_1514[[#This Row],[SAPSA Number]],Table1[SAPSA number],Table1[Paid up])</f>
        <v>Y</v>
      </c>
      <c r="D54" s="39" t="str">
        <f>_xlfn.XLOOKUP(__xlnm._FilterDatabase_1514[[#This Row],[SAPSA Number]],Table1[SAPSA number],Table1[Name])</f>
        <v>Dion Rowlands</v>
      </c>
      <c r="E54" s="39" t="str">
        <f>_xlfn.XLOOKUP(__xlnm._FilterDatabase_1514[[#This Row],[SAPSA Number]],Table1[SAPSA number],Table1[Surname])</f>
        <v>Stead</v>
      </c>
      <c r="F54" s="28" t="str">
        <f>_xlfn.XLOOKUP(__xlnm._FilterDatabase_1514[[#This Row],[SAPSA Number]],Table1[SAPSA number],Table1[Initials])</f>
        <v>DR</v>
      </c>
      <c r="G54" s="17" t="str">
        <f ca="1">_xlfn.XLOOKUP(__xlnm._FilterDatabase_1514[[#This Row],[SAPSA Number]],Table1[SAPSA number],Table1[Gender])</f>
        <v>S</v>
      </c>
      <c r="H54" s="19" t="e">
        <f>_xlfn.XLOOKUP(__xlnm._FilterDatabase_1514[[#This Row],[SAPSA Number]],#REF!,#REF!)</f>
        <v>#REF!</v>
      </c>
      <c r="I54" s="19" t="s">
        <v>214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6"/>
        <v>4</v>
      </c>
      <c r="B55" s="25">
        <v>4858</v>
      </c>
      <c r="C55" s="25" t="str">
        <f>_xlfn.XLOOKUP(__xlnm._FilterDatabase_1514[[#This Row],[SAPSA Number]],Table1[SAPSA number],Table1[Paid up])</f>
        <v>Y</v>
      </c>
      <c r="D55" s="39" t="str">
        <f>_xlfn.XLOOKUP(__xlnm._FilterDatabase_1514[[#This Row],[SAPSA Number]],Table1[SAPSA number],Table1[Name])</f>
        <v>Jacques</v>
      </c>
      <c r="E55" s="39" t="str">
        <f>_xlfn.XLOOKUP(__xlnm._FilterDatabase_1514[[#This Row],[SAPSA Number]],Table1[SAPSA number],Table1[Surname])</f>
        <v>Swanepoel</v>
      </c>
      <c r="F55" s="28" t="str">
        <f>_xlfn.XLOOKUP(__xlnm._FilterDatabase_1514[[#This Row],[SAPSA Number]],Table1[SAPSA number],Table1[Initials])</f>
        <v>J</v>
      </c>
      <c r="G55" s="17" t="str">
        <f ca="1">_xlfn.XLOOKUP(__xlnm._FilterDatabase_1514[[#This Row],[SAPSA Number]],Table1[SAPSA number],Table1[Gender])</f>
        <v xml:space="preserve"> </v>
      </c>
      <c r="H55" s="19" t="e">
        <f>_xlfn.XLOOKUP(__xlnm._FilterDatabase_1514[[#This Row],[SAPSA Number]],#REF!,#REF!)</f>
        <v>#REF!</v>
      </c>
      <c r="I55" s="19" t="s">
        <v>214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6"/>
        <v>4</v>
      </c>
      <c r="B56" s="25">
        <v>1113</v>
      </c>
      <c r="C56" s="25" t="str">
        <f>_xlfn.XLOOKUP(__xlnm._FilterDatabase_1514[[#This Row],[SAPSA Number]],Table1[SAPSA number],Table1[Paid up])</f>
        <v>Y</v>
      </c>
      <c r="D56" s="39" t="str">
        <f>_xlfn.XLOOKUP(__xlnm._FilterDatabase_1514[[#This Row],[SAPSA Number]],Table1[SAPSA number],Table1[Name])</f>
        <v>Frik</v>
      </c>
      <c r="E56" s="39" t="str">
        <f>_xlfn.XLOOKUP(__xlnm._FilterDatabase_1514[[#This Row],[SAPSA Number]],Table1[SAPSA number],Table1[Surname])</f>
        <v>Truter</v>
      </c>
      <c r="F56" s="28" t="str">
        <f>_xlfn.XLOOKUP(__xlnm._FilterDatabase_1514[[#This Row],[SAPSA Number]],Table1[SAPSA number],Table1[Initials])</f>
        <v>FC</v>
      </c>
      <c r="G56" s="17" t="str">
        <f ca="1">_xlfn.XLOOKUP(__xlnm._FilterDatabase_1514[[#This Row],[SAPSA Number]],Table1[SAPSA number],Table1[Gender])</f>
        <v>SS</v>
      </c>
      <c r="H56" s="19" t="e">
        <f>_xlfn.XLOOKUP(__xlnm._FilterDatabase_1514[[#This Row],[SAPSA Number]],#REF!,#REF!)</f>
        <v>#REF!</v>
      </c>
      <c r="I56" s="19" t="s">
        <v>214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6"/>
        <v>4</v>
      </c>
      <c r="B57" s="25">
        <v>4672</v>
      </c>
      <c r="C57" s="25" t="str">
        <f>_xlfn.XLOOKUP(__xlnm._FilterDatabase_1514[[#This Row],[SAPSA Number]],Table1[SAPSA number],Table1[Paid up])</f>
        <v>Y</v>
      </c>
      <c r="D57" s="39" t="str">
        <f>_xlfn.XLOOKUP(__xlnm._FilterDatabase_1514[[#This Row],[SAPSA Number]],Table1[SAPSA number],Table1[Name])</f>
        <v>Frederick John</v>
      </c>
      <c r="E57" s="39" t="str">
        <f>_xlfn.XLOOKUP(__xlnm._FilterDatabase_1514[[#This Row],[SAPSA Number]],Table1[SAPSA number],Table1[Surname])</f>
        <v>Turnbull</v>
      </c>
      <c r="F57" s="28" t="str">
        <f>_xlfn.XLOOKUP(__xlnm._FilterDatabase_1514[[#This Row],[SAPSA Number]],Table1[SAPSA number],Table1[Initials])</f>
        <v>FJ</v>
      </c>
      <c r="G57" s="17" t="str">
        <f ca="1">_xlfn.XLOOKUP(__xlnm._FilterDatabase_1514[[#This Row],[SAPSA Number]],Table1[SAPSA number],Table1[Gender])</f>
        <v>SS</v>
      </c>
      <c r="H57" s="19" t="e">
        <f>_xlfn.XLOOKUP(__xlnm._FilterDatabase_1514[[#This Row],[SAPSA Number]],#REF!,#REF!)</f>
        <v>#REF!</v>
      </c>
      <c r="I57" s="19" t="s">
        <v>214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6"/>
        <v>4</v>
      </c>
      <c r="B58" s="25">
        <v>1931</v>
      </c>
      <c r="C58" s="25">
        <f>_xlfn.XLOOKUP(__xlnm._FilterDatabase_1514[[#This Row],[SAPSA Number]],Table1[SAPSA number],Table1[Paid up])</f>
        <v>0</v>
      </c>
      <c r="D58" s="39" t="str">
        <f>_xlfn.XLOOKUP(__xlnm._FilterDatabase_1514[[#This Row],[SAPSA Number]],Table1[SAPSA number],Table1[Name])</f>
        <v>Sylvia</v>
      </c>
      <c r="E58" s="39" t="str">
        <f>_xlfn.XLOOKUP(__xlnm._FilterDatabase_1514[[#This Row],[SAPSA Number]],Table1[SAPSA number],Table1[Surname])</f>
        <v>Van der Neut</v>
      </c>
      <c r="F58" s="28" t="str">
        <f>_xlfn.XLOOKUP(__xlnm._FilterDatabase_1514[[#This Row],[SAPSA Number]],Table1[SAPSA number],Table1[Initials])</f>
        <v>S</v>
      </c>
      <c r="G58" s="17" t="str">
        <f>_xlfn.XLOOKUP(__xlnm._FilterDatabase_1514[[#This Row],[SAPSA Number]],Table1[SAPSA number],Table1[Gender])</f>
        <v>Lady</v>
      </c>
      <c r="H58" s="19" t="e">
        <f>_xlfn.XLOOKUP(__xlnm._FilterDatabase_1514[[#This Row],[SAPSA Number]],#REF!,#REF!)</f>
        <v>#REF!</v>
      </c>
      <c r="I58" s="19" t="s">
        <v>214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6"/>
        <v>4</v>
      </c>
      <c r="B59" s="25">
        <v>5616</v>
      </c>
      <c r="C59" s="25">
        <f>_xlfn.XLOOKUP(__xlnm._FilterDatabase_1514[[#This Row],[SAPSA Number]],Table1[SAPSA number],Table1[Paid up])</f>
        <v>0</v>
      </c>
      <c r="D59" s="39" t="str">
        <f>_xlfn.XLOOKUP(__xlnm._FilterDatabase_1514[[#This Row],[SAPSA Number]],Table1[SAPSA number],Table1[Name])</f>
        <v>Cornelis Herman</v>
      </c>
      <c r="E59" s="39" t="str">
        <f>_xlfn.XLOOKUP(__xlnm._FilterDatabase_1514[[#This Row],[SAPSA Number]],Table1[SAPSA number],Table1[Surname])</f>
        <v>van Driel</v>
      </c>
      <c r="F59" s="28" t="str">
        <f>_xlfn.XLOOKUP(__xlnm._FilterDatabase_1514[[#This Row],[SAPSA Number]],Table1[SAPSA number],Table1[Initials])</f>
        <v>CH</v>
      </c>
      <c r="G59" s="17" t="str">
        <f ca="1">_xlfn.XLOOKUP(__xlnm._FilterDatabase_1514[[#This Row],[SAPSA Number]],Table1[SAPSA number],Table1[Gender])</f>
        <v xml:space="preserve"> </v>
      </c>
      <c r="H59" s="19" t="e">
        <f>_xlfn.XLOOKUP(__xlnm._FilterDatabase_1514[[#This Row],[SAPSA Number]],#REF!,#REF!)</f>
        <v>#REF!</v>
      </c>
      <c r="I59" s="19" t="s">
        <v>214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6"/>
        <v>4</v>
      </c>
      <c r="B60" s="40">
        <v>6564</v>
      </c>
      <c r="C60" s="25" t="str">
        <f>_xlfn.XLOOKUP(__xlnm._FilterDatabase_1514[[#This Row],[SAPSA Number]],Table1[SAPSA number],Table1[Paid up])</f>
        <v>Y</v>
      </c>
      <c r="D60" s="39" t="str">
        <f>_xlfn.XLOOKUP(__xlnm._FilterDatabase_1514[[#This Row],[SAPSA Number]],Table1[SAPSA number],Table1[Name])</f>
        <v>Kwimton Schalk</v>
      </c>
      <c r="E60" s="39" t="str">
        <f>_xlfn.XLOOKUP(__xlnm._FilterDatabase_1514[[#This Row],[SAPSA Number]],Table1[SAPSA number],Table1[Surname])</f>
        <v>van Jaarsveld</v>
      </c>
      <c r="F60" s="28" t="str">
        <f>_xlfn.XLOOKUP(__xlnm._FilterDatabase_1514[[#This Row],[SAPSA Number]],Table1[SAPSA number],Table1[Initials])</f>
        <v>KS</v>
      </c>
      <c r="G60" s="17" t="str">
        <f ca="1">_xlfn.XLOOKUP(__xlnm._FilterDatabase_1514[[#This Row],[SAPSA Number]],Table1[SAPSA number],Table1[Gender])</f>
        <v xml:space="preserve"> </v>
      </c>
      <c r="H60" s="19" t="e">
        <f>_xlfn.XLOOKUP(__xlnm._FilterDatabase_1514[[#This Row],[SAPSA Number]],#REF!,#REF!)</f>
        <v>#REF!</v>
      </c>
      <c r="I60" s="19" t="s">
        <v>214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6"/>
        <v>4</v>
      </c>
      <c r="B61" s="25">
        <v>5262</v>
      </c>
      <c r="C61" s="25" t="str">
        <f>_xlfn.XLOOKUP(__xlnm._FilterDatabase_1514[[#This Row],[SAPSA Number]],Table1[SAPSA number],Table1[Paid up])</f>
        <v>Y</v>
      </c>
      <c r="D61" s="39" t="str">
        <f>_xlfn.XLOOKUP(__xlnm._FilterDatabase_1514[[#This Row],[SAPSA Number]],Table1[SAPSA number],Table1[Name])</f>
        <v>Andre</v>
      </c>
      <c r="E61" s="39" t="str">
        <f>_xlfn.XLOOKUP(__xlnm._FilterDatabase_1514[[#This Row],[SAPSA Number]],Table1[SAPSA number],Table1[Surname])</f>
        <v>van Rooyen</v>
      </c>
      <c r="F61" s="28" t="str">
        <f>_xlfn.XLOOKUP(__xlnm._FilterDatabase_1514[[#This Row],[SAPSA Number]],Table1[SAPSA number],Table1[Initials])</f>
        <v>A</v>
      </c>
      <c r="G61" s="17" t="str">
        <f ca="1">_xlfn.XLOOKUP(__xlnm._FilterDatabase_1514[[#This Row],[SAPSA Number]],Table1[SAPSA number],Table1[Gender])</f>
        <v xml:space="preserve"> </v>
      </c>
      <c r="H61" s="19" t="e">
        <f>_xlfn.XLOOKUP(__xlnm._FilterDatabase_1514[[#This Row],[SAPSA Number]],#REF!,#REF!)</f>
        <v>#REF!</v>
      </c>
      <c r="I61" s="19" t="s">
        <v>214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6"/>
        <v>4</v>
      </c>
      <c r="B62" s="26">
        <v>2051</v>
      </c>
      <c r="C62" s="25" t="str">
        <f>_xlfn.XLOOKUP(__xlnm._FilterDatabase_1514[[#This Row],[SAPSA Number]],Table1[SAPSA number],Table1[Paid up])</f>
        <v>Y</v>
      </c>
      <c r="D62" s="39" t="str">
        <f>_xlfn.XLOOKUP(__xlnm._FilterDatabase_1514[[#This Row],[SAPSA Number]],Table1[SAPSA number],Table1[Name])</f>
        <v>Simon Adriaan</v>
      </c>
      <c r="E62" s="39" t="str">
        <f>_xlfn.XLOOKUP(__xlnm._FilterDatabase_1514[[#This Row],[SAPSA Number]],Table1[SAPSA number],Table1[Surname])</f>
        <v>Vermooten</v>
      </c>
      <c r="F62" s="28" t="str">
        <f>_xlfn.XLOOKUP(__xlnm._FilterDatabase_1514[[#This Row],[SAPSA Number]],Table1[SAPSA number],Table1[Initials])</f>
        <v>SA</v>
      </c>
      <c r="G62" s="17" t="str">
        <f ca="1">_xlfn.XLOOKUP(__xlnm._FilterDatabase_1514[[#This Row],[SAPSA Number]],Table1[SAPSA number],Table1[Gender])</f>
        <v>GS</v>
      </c>
      <c r="H62" s="19" t="e">
        <f>_xlfn.XLOOKUP(__xlnm._FilterDatabase_1514[[#This Row],[SAPSA Number]],#REF!,#REF!)</f>
        <v>#REF!</v>
      </c>
      <c r="I62" s="19" t="s">
        <v>214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6"/>
        <v>4</v>
      </c>
      <c r="B63" s="26">
        <v>2089</v>
      </c>
      <c r="C63" s="25" t="str">
        <f>_xlfn.XLOOKUP(__xlnm._FilterDatabase_1514[[#This Row],[SAPSA Number]],Table1[SAPSA number],Table1[Paid up])</f>
        <v>Y</v>
      </c>
      <c r="D63" s="39" t="str">
        <f>_xlfn.XLOOKUP(__xlnm._FilterDatabase_1514[[#This Row],[SAPSA Number]],Table1[SAPSA number],Table1[Name])</f>
        <v>Doané</v>
      </c>
      <c r="E63" s="39" t="str">
        <f>_xlfn.XLOOKUP(__xlnm._FilterDatabase_1514[[#This Row],[SAPSA Number]],Table1[SAPSA number],Table1[Surname])</f>
        <v>Vermooten</v>
      </c>
      <c r="F63" s="28" t="str">
        <f>_xlfn.XLOOKUP(__xlnm._FilterDatabase_1514[[#This Row],[SAPSA Number]],Table1[SAPSA number],Table1[Initials])</f>
        <v>D</v>
      </c>
      <c r="G63" s="17" t="str">
        <f ca="1">_xlfn.XLOOKUP(__xlnm._FilterDatabase_1514[[#This Row],[SAPSA Number]],Table1[SAPSA number],Table1[Gender])</f>
        <v xml:space="preserve"> </v>
      </c>
      <c r="H63" s="19" t="e">
        <f>_xlfn.XLOOKUP(__xlnm._FilterDatabase_1514[[#This Row],[SAPSA Number]],#REF!,#REF!)</f>
        <v>#REF!</v>
      </c>
      <c r="I63" s="19" t="s">
        <v>214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 t="shared" si="6"/>
        <v>4</v>
      </c>
      <c r="B64" s="27">
        <v>896</v>
      </c>
      <c r="C64" s="25" t="str">
        <f>_xlfn.XLOOKUP(__xlnm._FilterDatabase_1514[[#This Row],[SAPSA Number]],Table1[SAPSA number],Table1[Paid up])</f>
        <v>Y</v>
      </c>
      <c r="D64" s="39" t="str">
        <f>_xlfn.XLOOKUP(__xlnm._FilterDatabase_1514[[#This Row],[SAPSA Number]],Table1[SAPSA number],Table1[Name])</f>
        <v>Johannes Francois</v>
      </c>
      <c r="E64" s="39" t="str">
        <f>_xlfn.XLOOKUP(__xlnm._FilterDatabase_1514[[#This Row],[SAPSA Number]],Table1[SAPSA number],Table1[Surname])</f>
        <v>Wheeler</v>
      </c>
      <c r="F64" s="28" t="str">
        <f>_xlfn.XLOOKUP(__xlnm._FilterDatabase_1514[[#This Row],[SAPSA Number]],Table1[SAPSA number],Table1[Initials])</f>
        <v>JF</v>
      </c>
      <c r="G64" s="17" t="str">
        <f ca="1">_xlfn.XLOOKUP(__xlnm._FilterDatabase_1514[[#This Row],[SAPSA Number]],Table1[SAPSA number],Table1[Gender])</f>
        <v xml:space="preserve"> </v>
      </c>
      <c r="H64" s="19" t="e">
        <f>_xlfn.XLOOKUP(__xlnm._FilterDatabase_1514[[#This Row],[SAPSA Number]],#REF!,#REF!)</f>
        <v>#REF!</v>
      </c>
      <c r="I64" s="19" t="s">
        <v>214</v>
      </c>
      <c r="J64" s="21">
        <f t="shared" si="4"/>
        <v>0</v>
      </c>
      <c r="K64" s="22">
        <f t="shared" si="5"/>
        <v>0</v>
      </c>
      <c r="L64" s="79">
        <v>0</v>
      </c>
      <c r="M64" s="80">
        <v>0</v>
      </c>
      <c r="N64" s="79">
        <v>0</v>
      </c>
      <c r="O64" s="80">
        <v>0</v>
      </c>
      <c r="P64" s="79">
        <v>0</v>
      </c>
      <c r="Q64" s="80">
        <v>0</v>
      </c>
      <c r="R64" s="79">
        <v>0</v>
      </c>
      <c r="S64" s="80">
        <v>0</v>
      </c>
      <c r="T64" s="79">
        <v>0</v>
      </c>
      <c r="U64" s="80">
        <v>0</v>
      </c>
      <c r="V64" s="79">
        <v>0</v>
      </c>
      <c r="W64" s="80">
        <v>0</v>
      </c>
    </row>
    <row r="65" spans="1:23" ht="14.4" customHeight="1" x14ac:dyDescent="0.3">
      <c r="A65" s="17">
        <f t="shared" si="6"/>
        <v>4</v>
      </c>
      <c r="B65" s="26">
        <v>1716</v>
      </c>
      <c r="C65" s="25" t="str">
        <f>_xlfn.XLOOKUP(__xlnm._FilterDatabase_1514[[#This Row],[SAPSA Number]],Table1[SAPSA number],Table1[Paid up])</f>
        <v>Y</v>
      </c>
      <c r="D65" s="39" t="str">
        <f>_xlfn.XLOOKUP(__xlnm._FilterDatabase_1514[[#This Row],[SAPSA Number]],Table1[SAPSA number],Table1[Name])</f>
        <v>Albert</v>
      </c>
      <c r="E65" s="39" t="str">
        <f>_xlfn.XLOOKUP(__xlnm._FilterDatabase_1514[[#This Row],[SAPSA Number]],Table1[SAPSA number],Table1[Surname])</f>
        <v>Wöcke</v>
      </c>
      <c r="F65" s="28" t="str">
        <f>_xlfn.XLOOKUP(__xlnm._FilterDatabase_1514[[#This Row],[SAPSA Number]],Table1[SAPSA number],Table1[Initials])</f>
        <v>A</v>
      </c>
      <c r="G65" s="17" t="str">
        <f ca="1">_xlfn.XLOOKUP(__xlnm._FilterDatabase_1514[[#This Row],[SAPSA Number]],Table1[SAPSA number],Table1[Gender])</f>
        <v>S</v>
      </c>
      <c r="H65" s="19" t="e">
        <f>_xlfn.XLOOKUP(__xlnm._FilterDatabase_1514[[#This Row],[SAPSA Number]],#REF!,#REF!)</f>
        <v>#REF!</v>
      </c>
      <c r="I65" s="19" t="s">
        <v>214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 t="shared" si="6"/>
        <v>4</v>
      </c>
      <c r="B66" s="26">
        <v>206</v>
      </c>
      <c r="C66" s="25">
        <f>_xlfn.XLOOKUP(__xlnm._FilterDatabase_1514[[#This Row],[SAPSA Number]],Table1[SAPSA number],Table1[Paid up])</f>
        <v>0</v>
      </c>
      <c r="D66" s="39" t="str">
        <f>_xlfn.XLOOKUP(__xlnm._FilterDatabase_1514[[#This Row],[SAPSA Number]],Table1[SAPSA number],Table1[Name])</f>
        <v>Pierre Dewald</v>
      </c>
      <c r="E66" s="39" t="str">
        <f>_xlfn.XLOOKUP(__xlnm._FilterDatabase_1514[[#This Row],[SAPSA Number]],Table1[SAPSA number],Table1[Surname])</f>
        <v>Wrogemann</v>
      </c>
      <c r="F66" s="28" t="str">
        <f>_xlfn.XLOOKUP(__xlnm._FilterDatabase_1514[[#This Row],[SAPSA Number]],Table1[SAPSA number],Table1[Initials])</f>
        <v>PD</v>
      </c>
      <c r="G66" s="17" t="str">
        <f ca="1">_xlfn.XLOOKUP(__xlnm._FilterDatabase_1514[[#This Row],[SAPSA Number]],Table1[SAPSA number],Table1[Gender])</f>
        <v>S</v>
      </c>
      <c r="H66" s="19" t="e">
        <f>_xlfn.XLOOKUP(__xlnm._FilterDatabase_1514[[#This Row],[SAPSA Number]],#REF!,#REF!)</f>
        <v>#REF!</v>
      </c>
      <c r="I66" s="19" t="s">
        <v>214</v>
      </c>
      <c r="J66" s="21">
        <f t="shared" si="4"/>
        <v>0</v>
      </c>
      <c r="K66" s="22">
        <f t="shared" ref="K66" si="7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>
        <f t="shared" ref="A67:A69" si="8">RANK(K67,K$2:K$136,0)</f>
        <v>4</v>
      </c>
      <c r="B67" s="26">
        <v>3810</v>
      </c>
      <c r="C67" s="25">
        <f>_xlfn.XLOOKUP(__xlnm._FilterDatabase_1514[[#This Row],[SAPSA Number]],Table1[SAPSA number],Table1[Paid up])</f>
        <v>0</v>
      </c>
      <c r="D67" s="39" t="str">
        <f>_xlfn.XLOOKUP(__xlnm._FilterDatabase_1514[[#This Row],[SAPSA Number]],Table1[SAPSA number],Table1[Name])</f>
        <v>Roelof</v>
      </c>
      <c r="E67" s="39" t="str">
        <f>_xlfn.XLOOKUP(__xlnm._FilterDatabase_1514[[#This Row],[SAPSA Number]],Table1[SAPSA number],Table1[Surname])</f>
        <v>Liebenberg</v>
      </c>
      <c r="F67" s="28" t="str">
        <f>_xlfn.XLOOKUP(__xlnm._FilterDatabase_1514[[#This Row],[SAPSA Number]],Table1[SAPSA number],Table1[Initials])</f>
        <v>R</v>
      </c>
      <c r="G67" s="17" t="str">
        <f ca="1">_xlfn.XLOOKUP(__xlnm._FilterDatabase_1514[[#This Row],[SAPSA Number]],Table1[SAPSA number],Table1[Gender])</f>
        <v>S</v>
      </c>
      <c r="H67" s="19" t="e">
        <f>_xlfn.XLOOKUP(__xlnm._FilterDatabase_1514[[#This Row],[SAPSA Number]],#REF!,#REF!)</f>
        <v>#REF!</v>
      </c>
      <c r="I67" s="19" t="s">
        <v>214</v>
      </c>
      <c r="J67" s="21">
        <f t="shared" ref="J67" si="9"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 t="shared" ref="K67" si="10">(LARGE(L67:U67,1)+LARGE(L67:U67,2)+LARGE(L67:U67,3)+LARGE(L67:U67,4)+LARGE(L67:U67,5))/5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>
        <f t="shared" si="8"/>
        <v>4</v>
      </c>
      <c r="B68" s="26">
        <v>401</v>
      </c>
      <c r="C68" s="25"/>
      <c r="D68" s="39" t="str">
        <f>_xlfn.XLOOKUP(__xlnm._FilterDatabase_1514[[#This Row],[SAPSA Number]],Table1[SAPSA number],Table1[Name])</f>
        <v>Sebella</v>
      </c>
      <c r="E68" s="39" t="str">
        <f>_xlfn.XLOOKUP(__xlnm._FilterDatabase_1514[[#This Row],[SAPSA Number]],Table1[SAPSA number],Table1[Surname])</f>
        <v>O'Donovan</v>
      </c>
      <c r="F68" s="28" t="str">
        <f>_xlfn.XLOOKUP(__xlnm._FilterDatabase_1514[[#This Row],[SAPSA Number]],Table1[SAPSA number],Table1[Initials])</f>
        <v>S</v>
      </c>
      <c r="G68" s="17" t="str">
        <f>_xlfn.XLOOKUP(__xlnm._FilterDatabase_1514[[#This Row],[SAPSA Number]],Table1[SAPSA number],Table1[Gender])</f>
        <v>Lady</v>
      </c>
      <c r="H68" s="19" t="e">
        <f>_xlfn.XLOOKUP(__xlnm._FilterDatabase_1514[[#This Row],[SAPSA Number]],#REF!,#REF!)</f>
        <v>#REF!</v>
      </c>
      <c r="I68" s="19" t="s">
        <v>214</v>
      </c>
      <c r="J68" s="21">
        <f t="shared" ref="J68:J69" si="11"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 t="shared" ref="K68:K69" si="12">(LARGE(L68:U68,1)+LARGE(L68:U68,2)+LARGE(L68:U68,3)+LARGE(L68:U68,4)+LARGE(L68:U68,5))/5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>
        <f t="shared" si="8"/>
        <v>4</v>
      </c>
      <c r="B69" s="26">
        <v>1547</v>
      </c>
      <c r="C69" s="25"/>
      <c r="D69" s="39" t="str">
        <f>_xlfn.XLOOKUP(__xlnm._FilterDatabase_1514[[#This Row],[SAPSA Number]],Table1[SAPSA number],Table1[Name])</f>
        <v>Marius Frans</v>
      </c>
      <c r="E69" s="39" t="str">
        <f>_xlfn.XLOOKUP(__xlnm._FilterDatabase_1514[[#This Row],[SAPSA Number]],Table1[SAPSA number],Table1[Surname])</f>
        <v>van Biljon</v>
      </c>
      <c r="F69" s="28" t="str">
        <f>_xlfn.XLOOKUP(__xlnm._FilterDatabase_1514[[#This Row],[SAPSA Number]],Table1[SAPSA number],Table1[Initials])</f>
        <v>MF</v>
      </c>
      <c r="G69" s="17" t="str">
        <f ca="1">_xlfn.XLOOKUP(__xlnm._FilterDatabase_1514[[#This Row],[SAPSA Number]],Table1[SAPSA number],Table1[Gender])</f>
        <v>S</v>
      </c>
      <c r="H69" s="19" t="e">
        <f>_xlfn.XLOOKUP(__xlnm._FilterDatabase_1514[[#This Row],[SAPSA Number]],#REF!,#REF!)</f>
        <v>#REF!</v>
      </c>
      <c r="I69" s="19" t="s">
        <v>214</v>
      </c>
      <c r="J69" s="21">
        <f t="shared" si="11"/>
        <v>0</v>
      </c>
      <c r="K69" s="22">
        <f t="shared" si="12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ref="A70" si="13">RANK(K70,K$2:K$136,0)</f>
        <v>4</v>
      </c>
      <c r="B70" s="26">
        <v>3837</v>
      </c>
      <c r="C70" s="25"/>
      <c r="D70" s="39" t="str">
        <f>_xlfn.XLOOKUP(__xlnm._FilterDatabase_1514[[#This Row],[SAPSA Number]],Table1[SAPSA number],Table1[Name])</f>
        <v>Daneel</v>
      </c>
      <c r="E70" s="39" t="str">
        <f>_xlfn.XLOOKUP(__xlnm._FilterDatabase_1514[[#This Row],[SAPSA Number]],Table1[SAPSA number],Table1[Surname])</f>
        <v>van eck</v>
      </c>
      <c r="F70" s="28" t="str">
        <f>_xlfn.XLOOKUP(__xlnm._FilterDatabase_1514[[#This Row],[SAPSA Number]],Table1[SAPSA number],Table1[Initials])</f>
        <v>DJ</v>
      </c>
      <c r="G70" s="17" t="str">
        <f ca="1">_xlfn.XLOOKUP(__xlnm._FilterDatabase_1514[[#This Row],[SAPSA Number]],Table1[SAPSA number],Table1[Gender])</f>
        <v xml:space="preserve"> </v>
      </c>
      <c r="H70" s="19" t="e">
        <f>_xlfn.XLOOKUP(__xlnm._FilterDatabase_1514[[#This Row],[SAPSA Number]],#REF!,#REF!)</f>
        <v>#REF!</v>
      </c>
      <c r="I70" s="19" t="s">
        <v>214</v>
      </c>
      <c r="J70" s="21">
        <f t="shared" ref="J70" si="14"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 t="shared" ref="K70" si="15">(LARGE(L70:U70,1)+LARGE(L70:U70,2)+LARGE(L70:U70,3)+LARGE(L70:U70,4)+LARGE(L70:U70,5))/5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39"/>
      <c r="E71" s="39"/>
      <c r="F71" s="28"/>
      <c r="G71" s="17"/>
      <c r="H71" s="19"/>
      <c r="I71" s="19"/>
      <c r="J71" s="21"/>
      <c r="K71" s="22"/>
      <c r="L71" s="79"/>
      <c r="M71" s="80"/>
      <c r="N71" s="79"/>
      <c r="O71" s="80"/>
      <c r="P71" s="79"/>
      <c r="Q71" s="80"/>
      <c r="R71" s="79"/>
      <c r="S71" s="80"/>
      <c r="T71" s="79"/>
      <c r="U71" s="80"/>
      <c r="V71" s="79"/>
      <c r="W71" s="80"/>
    </row>
    <row r="72" spans="1:23" x14ac:dyDescent="0.3">
      <c r="A72" s="17"/>
      <c r="B72" s="26"/>
      <c r="C72" s="25"/>
      <c r="D72" s="39"/>
      <c r="E72" s="39"/>
      <c r="F72" s="28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17"/>
      <c r="B73" s="25"/>
      <c r="C73" s="25"/>
      <c r="D73" s="39"/>
      <c r="E73" s="39"/>
      <c r="F73" s="28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17"/>
      <c r="B74" s="18"/>
      <c r="C74" s="25"/>
      <c r="D74" s="39"/>
      <c r="E74" s="39"/>
      <c r="F74" s="28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17"/>
      <c r="B75" s="149"/>
      <c r="C75" s="25"/>
      <c r="D75" s="39"/>
      <c r="E75" s="39"/>
      <c r="F75" s="28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17"/>
      <c r="B76" s="26"/>
      <c r="C76" s="25"/>
      <c r="D76" s="39"/>
      <c r="E76" s="39"/>
      <c r="F76" s="28"/>
      <c r="G76" s="17"/>
      <c r="H76" s="19"/>
      <c r="I76" s="19"/>
      <c r="J76" s="21"/>
      <c r="K76" s="22"/>
      <c r="L76" s="79"/>
      <c r="M76" s="80"/>
      <c r="N76" s="79"/>
      <c r="O76" s="80"/>
      <c r="P76" s="79"/>
      <c r="Q76" s="80"/>
      <c r="R76" s="79"/>
      <c r="S76" s="80"/>
      <c r="T76" s="79"/>
      <c r="U76" s="80"/>
      <c r="V76" s="79"/>
      <c r="W76" s="80"/>
    </row>
    <row r="77" spans="1:23" x14ac:dyDescent="0.3">
      <c r="A77" s="31"/>
      <c r="B77" s="32"/>
      <c r="C77" s="25"/>
      <c r="D77" s="39"/>
      <c r="E77" s="39"/>
      <c r="F77" s="28"/>
      <c r="G77" s="17"/>
      <c r="H77" s="19"/>
      <c r="I77" s="19"/>
      <c r="J77" s="34"/>
      <c r="K77" s="22"/>
      <c r="L77" s="79"/>
      <c r="M77" s="80"/>
      <c r="N77" s="79"/>
      <c r="O77" s="80"/>
      <c r="P77" s="79"/>
      <c r="Q77" s="80"/>
      <c r="R77" s="79"/>
      <c r="S77" s="80"/>
      <c r="T77" s="79"/>
      <c r="U77" s="80"/>
      <c r="V77" s="79"/>
      <c r="W77" s="80"/>
    </row>
    <row r="78" spans="1:23" x14ac:dyDescent="0.3">
      <c r="A78" s="31"/>
      <c r="B78" s="32"/>
      <c r="C78" s="25"/>
      <c r="D78" s="39"/>
      <c r="E78" s="39"/>
      <c r="F78" s="28"/>
      <c r="G78" s="17"/>
      <c r="H78" s="19"/>
      <c r="I78" s="19"/>
      <c r="J78" s="34"/>
      <c r="K78" s="22"/>
      <c r="L78" s="79"/>
      <c r="M78" s="80"/>
      <c r="N78" s="79"/>
      <c r="O78" s="80"/>
      <c r="P78" s="79"/>
      <c r="Q78" s="80"/>
      <c r="R78" s="79"/>
      <c r="S78" s="80"/>
      <c r="T78" s="79"/>
      <c r="U78" s="80"/>
      <c r="V78" s="79"/>
      <c r="W78" s="80"/>
    </row>
    <row r="79" spans="1:23" x14ac:dyDescent="0.3">
      <c r="A79" s="31"/>
      <c r="B79" s="32"/>
      <c r="C79" s="25"/>
      <c r="D79" s="39"/>
      <c r="E79" s="39"/>
      <c r="F79" s="28"/>
      <c r="G79" s="17"/>
      <c r="H79" s="19"/>
      <c r="I79" s="19"/>
      <c r="J79" s="34"/>
      <c r="K79" s="22"/>
      <c r="L79" s="79"/>
      <c r="M79" s="80"/>
      <c r="N79" s="79"/>
      <c r="O79" s="80"/>
      <c r="P79" s="79"/>
      <c r="Q79" s="80"/>
      <c r="R79" s="79"/>
      <c r="S79" s="80"/>
      <c r="T79" s="79"/>
      <c r="U79" s="80"/>
      <c r="V79" s="79"/>
      <c r="W79" s="80"/>
    </row>
    <row r="80" spans="1:23" x14ac:dyDescent="0.3">
      <c r="A80" s="31"/>
      <c r="B80" s="43"/>
      <c r="C80" s="25"/>
      <c r="D80" s="39"/>
      <c r="E80" s="39"/>
      <c r="F80" s="28"/>
      <c r="G80" s="17"/>
      <c r="H80" s="19"/>
      <c r="I80" s="19"/>
      <c r="J80" s="34"/>
      <c r="K80" s="22"/>
      <c r="L80" s="79"/>
      <c r="M80" s="80"/>
      <c r="N80" s="79"/>
      <c r="O80" s="80"/>
      <c r="P80" s="79"/>
      <c r="Q80" s="80"/>
      <c r="R80" s="79"/>
      <c r="S80" s="80"/>
      <c r="T80" s="79"/>
      <c r="U80" s="80"/>
      <c r="V80" s="79"/>
      <c r="W80" s="80"/>
    </row>
    <row r="81" spans="1:23" x14ac:dyDescent="0.3">
      <c r="A81" s="31"/>
      <c r="B81" s="32"/>
      <c r="C81" s="25"/>
      <c r="D81" s="39"/>
      <c r="E81" s="39"/>
      <c r="F81" s="28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31"/>
      <c r="B82" s="32"/>
      <c r="C82" s="25"/>
      <c r="D82" s="39"/>
      <c r="E82" s="39"/>
      <c r="F82" s="28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35"/>
      <c r="B83" s="32"/>
      <c r="C83" s="25"/>
      <c r="D83" s="39"/>
      <c r="E83" s="39"/>
      <c r="F83" s="28"/>
      <c r="G83" s="17"/>
      <c r="H83" s="19"/>
      <c r="I83" s="19"/>
      <c r="J83" s="34"/>
      <c r="K83" s="22"/>
      <c r="L83" s="79"/>
      <c r="M83" s="80"/>
      <c r="N83" s="79"/>
      <c r="O83" s="80"/>
      <c r="P83" s="79"/>
      <c r="Q83" s="80"/>
      <c r="R83" s="79"/>
      <c r="S83" s="80"/>
      <c r="T83" s="79"/>
      <c r="U83" s="80"/>
      <c r="V83" s="79"/>
      <c r="W83" s="80"/>
    </row>
    <row r="84" spans="1:23" x14ac:dyDescent="0.3">
      <c r="A84" s="35"/>
      <c r="B84" s="36"/>
      <c r="C84" s="25"/>
      <c r="D84" s="39"/>
      <c r="E84" s="39"/>
      <c r="F84" s="28"/>
      <c r="G84" s="17"/>
      <c r="H84" s="19"/>
      <c r="I84" s="19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35"/>
      <c r="B85" s="41"/>
      <c r="C85" s="25"/>
      <c r="D85" s="39"/>
      <c r="E85" s="39"/>
      <c r="F85" s="28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35"/>
      <c r="B86" s="41"/>
      <c r="C86" s="25"/>
      <c r="D86" s="39"/>
      <c r="E86" s="39"/>
      <c r="F86" s="28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35"/>
      <c r="B87" s="32"/>
      <c r="C87" s="25"/>
      <c r="D87" s="39"/>
      <c r="E87" s="39"/>
      <c r="F87" s="28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35"/>
      <c r="B88" s="32"/>
      <c r="C88" s="25"/>
      <c r="D88" s="39"/>
      <c r="E88" s="39"/>
      <c r="F88" s="28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5"/>
      <c r="B89" s="32"/>
      <c r="C89" s="25"/>
      <c r="D89" s="39"/>
      <c r="E89" s="39"/>
      <c r="F89" s="28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5"/>
      <c r="B90" s="32"/>
      <c r="C90" s="25"/>
      <c r="D90" s="39"/>
      <c r="E90" s="39"/>
      <c r="F90" s="28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5"/>
      <c r="B91" s="32"/>
      <c r="C91" s="25"/>
      <c r="D91" s="39"/>
      <c r="E91" s="39"/>
      <c r="F91" s="28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1"/>
      <c r="B92" s="32"/>
      <c r="C92" s="25"/>
      <c r="D92" s="39"/>
      <c r="E92" s="39"/>
      <c r="F92" s="28"/>
      <c r="G92" s="17"/>
      <c r="H92" s="19"/>
      <c r="I92" s="19"/>
      <c r="J92" s="34"/>
      <c r="K92" s="22"/>
      <c r="L92" s="79"/>
      <c r="M92" s="80"/>
      <c r="N92" s="79"/>
      <c r="O92" s="80"/>
      <c r="P92" s="79"/>
      <c r="Q92" s="80"/>
      <c r="R92" s="79"/>
      <c r="S92" s="80"/>
      <c r="T92" s="79"/>
      <c r="U92" s="80"/>
      <c r="V92" s="79"/>
      <c r="W92" s="80"/>
    </row>
    <row r="93" spans="1:23" x14ac:dyDescent="0.3">
      <c r="A93" s="31"/>
      <c r="B93" s="32"/>
      <c r="C93" s="25"/>
      <c r="D93" s="39"/>
      <c r="E93" s="39"/>
      <c r="F93" s="28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5"/>
      <c r="B94" s="36"/>
      <c r="C94" s="25"/>
      <c r="D94" s="39"/>
      <c r="E94" s="39"/>
      <c r="F94" s="28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5"/>
      <c r="B95" s="36"/>
      <c r="C95" s="25"/>
      <c r="D95" s="39"/>
      <c r="E95" s="39"/>
      <c r="F95" s="28"/>
      <c r="G95" s="17"/>
      <c r="H95" s="19"/>
      <c r="I95" s="29"/>
      <c r="J95" s="52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1"/>
      <c r="B96" s="32"/>
      <c r="C96" s="25"/>
      <c r="D96" s="39"/>
      <c r="E96" s="39"/>
      <c r="F96" s="28"/>
      <c r="G96" s="17"/>
      <c r="H96" s="19"/>
      <c r="I96" s="33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1"/>
      <c r="B97" s="32"/>
      <c r="C97" s="25"/>
      <c r="D97" s="39"/>
      <c r="E97" s="39"/>
      <c r="F97" s="28"/>
      <c r="G97" s="17"/>
      <c r="H97" s="19"/>
      <c r="I97" s="33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1"/>
      <c r="B98" s="32"/>
      <c r="C98" s="25"/>
      <c r="D98" s="39"/>
      <c r="E98" s="39"/>
      <c r="F98" s="28"/>
      <c r="G98" s="17"/>
      <c r="H98" s="19"/>
      <c r="I98" s="33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1"/>
      <c r="B99" s="32"/>
      <c r="C99" s="25"/>
      <c r="D99" s="39"/>
      <c r="E99" s="39"/>
      <c r="F99" s="28"/>
      <c r="G99" s="17"/>
      <c r="H99" s="19"/>
      <c r="I99" s="33"/>
      <c r="J99" s="34"/>
      <c r="K99" s="22"/>
      <c r="L99" s="79"/>
      <c r="M99" s="80"/>
      <c r="N99" s="79"/>
      <c r="O99" s="80"/>
      <c r="P99" s="79"/>
      <c r="Q99" s="80"/>
      <c r="R99" s="79"/>
      <c r="S99" s="80"/>
      <c r="T99" s="79"/>
      <c r="U99" s="80"/>
      <c r="V99" s="79"/>
      <c r="W99" s="80"/>
    </row>
    <row r="100" spans="1:23" x14ac:dyDescent="0.3">
      <c r="A100" s="31"/>
      <c r="B100" s="32"/>
      <c r="C100" s="25"/>
      <c r="D100" s="39"/>
      <c r="E100" s="39"/>
      <c r="F100" s="28"/>
      <c r="G100" s="17"/>
      <c r="H100" s="19"/>
      <c r="I100" s="33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31"/>
      <c r="B101" s="32"/>
      <c r="C101" s="25"/>
      <c r="D101" s="39"/>
      <c r="E101" s="39"/>
      <c r="F101" s="28"/>
      <c r="G101" s="17"/>
      <c r="H101" s="19"/>
      <c r="I101" s="33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1"/>
      <c r="B102" s="41"/>
      <c r="C102" s="25"/>
      <c r="D102" s="39"/>
      <c r="E102" s="39"/>
      <c r="F102" s="28"/>
      <c r="G102" s="17"/>
      <c r="H102" s="19"/>
      <c r="I102" s="33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31"/>
      <c r="B103" s="41"/>
      <c r="C103" s="25"/>
      <c r="D103" s="39"/>
      <c r="E103" s="39"/>
      <c r="F103" s="28"/>
      <c r="G103" s="17"/>
      <c r="H103" s="19"/>
      <c r="I103" s="33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43"/>
      <c r="C104" s="25"/>
      <c r="D104" s="39"/>
      <c r="E104" s="39"/>
      <c r="F104" s="28"/>
      <c r="G104" s="17"/>
      <c r="H104" s="19"/>
      <c r="I104" s="33"/>
      <c r="J104" s="34"/>
      <c r="K104" s="22"/>
      <c r="L104" s="79"/>
      <c r="M104" s="80"/>
      <c r="N104" s="79"/>
      <c r="O104" s="80"/>
      <c r="P104" s="79"/>
      <c r="Q104" s="80"/>
      <c r="R104" s="79"/>
      <c r="S104" s="80"/>
      <c r="T104" s="79"/>
      <c r="U104" s="80"/>
      <c r="V104" s="79"/>
      <c r="W104" s="80"/>
    </row>
    <row r="105" spans="1:23" x14ac:dyDescent="0.3">
      <c r="A105" s="31"/>
      <c r="B105" s="32"/>
      <c r="C105" s="25"/>
      <c r="D105" s="39"/>
      <c r="E105" s="39"/>
      <c r="F105" s="28"/>
      <c r="G105" s="17"/>
      <c r="H105" s="19"/>
      <c r="I105" s="33"/>
      <c r="J105" s="34"/>
      <c r="K105" s="22"/>
      <c r="L105" s="79"/>
      <c r="M105" s="80"/>
      <c r="N105" s="79"/>
      <c r="O105" s="80"/>
      <c r="P105" s="79"/>
      <c r="Q105" s="80"/>
      <c r="R105" s="79"/>
      <c r="S105" s="80"/>
      <c r="T105" s="79"/>
      <c r="U105" s="80"/>
      <c r="V105" s="79"/>
      <c r="W105" s="80"/>
    </row>
    <row r="106" spans="1:23" x14ac:dyDescent="0.3">
      <c r="A106" s="31"/>
      <c r="B106" s="41"/>
      <c r="C106" s="25"/>
      <c r="D106" s="39"/>
      <c r="E106" s="39"/>
      <c r="F106" s="28"/>
      <c r="G106" s="17"/>
      <c r="H106" s="19"/>
      <c r="I106" s="33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31"/>
      <c r="B107" s="32"/>
      <c r="C107" s="25"/>
      <c r="D107" s="39"/>
      <c r="E107" s="39"/>
      <c r="F107" s="28"/>
      <c r="G107" s="17"/>
      <c r="H107" s="19"/>
      <c r="I107" s="33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x14ac:dyDescent="0.3">
      <c r="A108" s="31"/>
      <c r="B108" s="32"/>
      <c r="C108" s="25"/>
      <c r="D108" s="39"/>
      <c r="E108" s="39"/>
      <c r="F108" s="28"/>
      <c r="G108" s="17"/>
      <c r="H108" s="19"/>
      <c r="I108" s="33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31"/>
      <c r="B109" s="32"/>
      <c r="C109" s="25"/>
      <c r="D109" s="3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25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1"/>
      <c r="C112" s="25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32"/>
      <c r="C114" s="25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25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25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32"/>
      <c r="C117" s="25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25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43"/>
      <c r="C119" s="25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"/>
      <c r="C120" s="25"/>
      <c r="D120" s="3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41"/>
      <c r="C121" s="25"/>
      <c r="D121" s="3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43"/>
      <c r="C122" s="25"/>
      <c r="D122" s="3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41"/>
      <c r="C123" s="25"/>
      <c r="D123" s="3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</sheetData>
  <sheetProtection selectLockedCells="1" selectUnlockedCells="1"/>
  <conditionalFormatting sqref="G2:G123">
    <cfRule type="cellIs" dxfId="3" priority="1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95D3-E70E-4B96-9E0E-130D89310890}">
  <sheetPr codeName="Sheet14">
    <tabColor theme="7" tint="0.39997558519241921"/>
  </sheetPr>
  <dimension ref="A1:AMJ122"/>
  <sheetViews>
    <sheetView zoomScale="80" zoomScaleNormal="80" workbookViewId="0">
      <pane xSplit="11" ySplit="1" topLeftCell="T2" activePane="bottomRight" state="frozen"/>
      <selection activeCell="D82" sqref="D82"/>
      <selection pane="topRight" activeCell="D82" sqref="D82"/>
      <selection pane="bottomLeft" activeCell="D82" sqref="D82"/>
      <selection pane="bottomRight" activeCell="V4" sqref="V4"/>
    </sheetView>
  </sheetViews>
  <sheetFormatPr defaultRowHeight="14.4" x14ac:dyDescent="0.3"/>
  <cols>
    <col min="1" max="1" width="8.5546875" style="37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7.5546875" style="16" customWidth="1"/>
    <col min="6" max="6" width="7.109375" style="16" customWidth="1"/>
    <col min="7" max="7" width="6.6640625" style="16" customWidth="1"/>
    <col min="8" max="8" width="6.109375" style="16" hidden="1" customWidth="1"/>
    <col min="9" max="9" width="11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33" si="0">RANK(K2,K$2:K$135,0)</f>
        <v>1</v>
      </c>
      <c r="B2" s="25">
        <v>5262</v>
      </c>
      <c r="C2" s="25" t="str">
        <f>_xlfn.XLOOKUP(__xlnm._FilterDatabase_1513[[#This Row],[SAPSA Number]],Table1[SAPSA number],Table1[Paid up])</f>
        <v>Y</v>
      </c>
      <c r="D2" s="39" t="str">
        <f>_xlfn.XLOOKUP(__xlnm._FilterDatabase_1513[[#This Row],[SAPSA Number]],Table1[SAPSA number],Table1[Name])</f>
        <v>Andre</v>
      </c>
      <c r="E2" s="39" t="str">
        <f>_xlfn.XLOOKUP(__xlnm._FilterDatabase_1513[[#This Row],[SAPSA Number]],Table1[SAPSA number],Table1[Surname])</f>
        <v>van Rooyen</v>
      </c>
      <c r="F2" s="28" t="str">
        <f>_xlfn.XLOOKUP(__xlnm._FilterDatabase_1513[[#This Row],[SAPSA Number]],Table1[SAPSA number],Table1[Initials])</f>
        <v>A</v>
      </c>
      <c r="G2" s="17" t="str">
        <f ca="1">_xlfn.XLOOKUP(__xlnm._FilterDatabase_1513[[#This Row],[SAPSA Number]],Table1[SAPSA number],Table1[Gender])</f>
        <v xml:space="preserve"> </v>
      </c>
      <c r="H2" s="19" t="e">
        <f>_xlfn.XLOOKUP(__xlnm._FilterDatabase_1513[[#This Row],[SAPSA Number]],#REF!,#REF!)</f>
        <v>#REF!</v>
      </c>
      <c r="I2" s="19" t="s">
        <v>215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8</v>
      </c>
      <c r="K2" s="22">
        <f t="shared" ref="K2:K33" si="2">(LARGE(L2:U2,1)+LARGE(L2:U2,2)+LARGE(L2:U2,3)+LARGE(L2:U2,4)+LARGE(L2:U2,5))/5</f>
        <v>100</v>
      </c>
      <c r="L2" s="23">
        <v>100</v>
      </c>
      <c r="M2" s="24">
        <v>100</v>
      </c>
      <c r="N2" s="23">
        <v>100</v>
      </c>
      <c r="O2" s="24">
        <v>100</v>
      </c>
      <c r="P2" s="23">
        <v>100</v>
      </c>
      <c r="Q2" s="24">
        <v>0</v>
      </c>
      <c r="R2" s="23">
        <v>100</v>
      </c>
      <c r="S2" s="24">
        <v>100</v>
      </c>
      <c r="T2" s="23">
        <v>0</v>
      </c>
      <c r="U2" s="24">
        <v>0</v>
      </c>
      <c r="V2" s="23">
        <v>100</v>
      </c>
      <c r="W2" s="24">
        <v>0</v>
      </c>
    </row>
    <row r="3" spans="1:23" ht="14.4" customHeight="1" x14ac:dyDescent="0.3">
      <c r="A3" s="17">
        <f t="shared" si="0"/>
        <v>2</v>
      </c>
      <c r="B3" s="25">
        <v>3172</v>
      </c>
      <c r="C3" s="25" t="str">
        <f>_xlfn.XLOOKUP(__xlnm._FilterDatabase_1513[[#This Row],[SAPSA Number]],Table1[SAPSA number],Table1[Paid up])</f>
        <v>Y</v>
      </c>
      <c r="D3" s="39" t="str">
        <f>_xlfn.XLOOKUP(__xlnm._FilterDatabase_1513[[#This Row],[SAPSA Number]],Table1[SAPSA number],Table1[Name])</f>
        <v>Mervyn-John</v>
      </c>
      <c r="E3" s="39" t="str">
        <f>_xlfn.XLOOKUP(__xlnm._FilterDatabase_1513[[#This Row],[SAPSA Number]],Table1[SAPSA number],Table1[Surname])</f>
        <v>Evans</v>
      </c>
      <c r="F3" s="28" t="str">
        <f>_xlfn.XLOOKUP(__xlnm._FilterDatabase_1513[[#This Row],[SAPSA Number]],Table1[SAPSA number],Table1[Initials])</f>
        <v>MJ</v>
      </c>
      <c r="G3" s="17" t="str">
        <f ca="1">_xlfn.XLOOKUP(__xlnm._FilterDatabase_1513[[#This Row],[SAPSA Number]],Table1[SAPSA number],Table1[Gender])</f>
        <v>SS</v>
      </c>
      <c r="H3" s="19" t="e">
        <f>_xlfn.XLOOKUP(__xlnm._FilterDatabase_1513[[#This Row],[SAPSA Number]],#REF!,#REF!)</f>
        <v>#REF!</v>
      </c>
      <c r="I3" s="19" t="s">
        <v>215</v>
      </c>
      <c r="J3" s="21">
        <f t="shared" si="1"/>
        <v>5</v>
      </c>
      <c r="K3" s="22">
        <f t="shared" si="2"/>
        <v>55.932740000000003</v>
      </c>
      <c r="L3" s="23">
        <v>0</v>
      </c>
      <c r="M3" s="24">
        <v>68.688400000000001</v>
      </c>
      <c r="N3" s="23">
        <v>0</v>
      </c>
      <c r="O3" s="24">
        <v>0</v>
      </c>
      <c r="P3" s="23">
        <v>79.195999999999998</v>
      </c>
      <c r="Q3" s="24">
        <v>0</v>
      </c>
      <c r="R3" s="23">
        <v>57.6815</v>
      </c>
      <c r="S3" s="24">
        <v>74.097800000000007</v>
      </c>
      <c r="T3" s="23">
        <v>0</v>
      </c>
      <c r="U3" s="24">
        <v>0</v>
      </c>
      <c r="V3" s="23">
        <v>60.858400000000003</v>
      </c>
      <c r="W3" s="24">
        <v>0</v>
      </c>
    </row>
    <row r="4" spans="1:23" ht="14.4" customHeight="1" x14ac:dyDescent="0.3">
      <c r="A4" s="17">
        <f t="shared" si="0"/>
        <v>3</v>
      </c>
      <c r="B4" s="25">
        <v>393</v>
      </c>
      <c r="C4" s="25" t="str">
        <f>_xlfn.XLOOKUP(__xlnm._FilterDatabase_1513[[#This Row],[SAPSA Number]],Table1[SAPSA number],Table1[Paid up])</f>
        <v>Y</v>
      </c>
      <c r="D4" s="39" t="str">
        <f>_xlfn.XLOOKUP(__xlnm._FilterDatabase_1513[[#This Row],[SAPSA Number]],Table1[SAPSA number],Table1[Name])</f>
        <v>Robyn Angela</v>
      </c>
      <c r="E4" s="39" t="str">
        <f>_xlfn.XLOOKUP(__xlnm._FilterDatabase_1513[[#This Row],[SAPSA Number]],Table1[SAPSA number],Table1[Surname])</f>
        <v>Evans</v>
      </c>
      <c r="F4" s="28" t="str">
        <f>_xlfn.XLOOKUP(__xlnm._FilterDatabase_1513[[#This Row],[SAPSA Number]],Table1[SAPSA number],Table1[Initials])</f>
        <v>RA</v>
      </c>
      <c r="G4" s="17" t="str">
        <f>_xlfn.XLOOKUP(__xlnm._FilterDatabase_1513[[#This Row],[SAPSA Number]],Table1[SAPSA number],Table1[Gender])</f>
        <v>Lady</v>
      </c>
      <c r="H4" s="19" t="e">
        <f>_xlfn.XLOOKUP(__xlnm._FilterDatabase_1513[[#This Row],[SAPSA Number]],#REF!,#REF!)</f>
        <v>#REF!</v>
      </c>
      <c r="I4" s="19" t="s">
        <v>215</v>
      </c>
      <c r="J4" s="21">
        <f t="shared" si="1"/>
        <v>4</v>
      </c>
      <c r="K4" s="22">
        <f t="shared" si="2"/>
        <v>45.043019999999999</v>
      </c>
      <c r="L4" s="23">
        <v>0</v>
      </c>
      <c r="M4" s="24">
        <v>57.561500000000002</v>
      </c>
      <c r="N4" s="23">
        <v>0</v>
      </c>
      <c r="O4" s="24">
        <v>0</v>
      </c>
      <c r="P4" s="23">
        <v>63.689900000000002</v>
      </c>
      <c r="Q4" s="24">
        <v>0</v>
      </c>
      <c r="R4" s="23">
        <v>47.216700000000003</v>
      </c>
      <c r="S4" s="24">
        <v>56.747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 t="shared" si="0"/>
        <v>4</v>
      </c>
      <c r="B5" s="25">
        <v>3822</v>
      </c>
      <c r="C5" s="25" t="str">
        <f>_xlfn.XLOOKUP(__xlnm._FilterDatabase_1513[[#This Row],[SAPSA Number]],Table1[SAPSA number],Table1[Paid up])</f>
        <v>Y</v>
      </c>
      <c r="D5" s="39" t="str">
        <f>_xlfn.XLOOKUP(__xlnm._FilterDatabase_1513[[#This Row],[SAPSA Number]],Table1[SAPSA number],Table1[Name])</f>
        <v>Wayne Erald</v>
      </c>
      <c r="E5" s="39" t="str">
        <f>_xlfn.XLOOKUP(__xlnm._FilterDatabase_1513[[#This Row],[SAPSA Number]],Table1[SAPSA number],Table1[Surname])</f>
        <v>Schmidt</v>
      </c>
      <c r="F5" s="28" t="str">
        <f>_xlfn.XLOOKUP(__xlnm._FilterDatabase_1513[[#This Row],[SAPSA Number]],Table1[SAPSA number],Table1[Initials])</f>
        <v>WE</v>
      </c>
      <c r="G5" s="17" t="str">
        <f ca="1">_xlfn.XLOOKUP(__xlnm._FilterDatabase_1513[[#This Row],[SAPSA Number]],Table1[SAPSA number],Table1[Gender])</f>
        <v>S</v>
      </c>
      <c r="H5" s="19" t="e">
        <f>_xlfn.XLOOKUP(__xlnm._FilterDatabase_1513[[#This Row],[SAPSA Number]],#REF!,#REF!)</f>
        <v>#REF!</v>
      </c>
      <c r="I5" s="19" t="s">
        <v>215</v>
      </c>
      <c r="J5" s="21">
        <f t="shared" si="1"/>
        <v>3</v>
      </c>
      <c r="K5" s="22">
        <f t="shared" si="2"/>
        <v>24.57104</v>
      </c>
      <c r="L5" s="23">
        <v>34.53</v>
      </c>
      <c r="M5" s="24">
        <v>0</v>
      </c>
      <c r="N5" s="23">
        <v>0</v>
      </c>
      <c r="O5" s="24">
        <v>39.934699999999999</v>
      </c>
      <c r="P5" s="23">
        <v>48.390500000000003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 t="shared" si="0"/>
        <v>5</v>
      </c>
      <c r="B6" s="18">
        <v>3339</v>
      </c>
      <c r="C6" s="100" t="str">
        <f>_xlfn.XLOOKUP(__xlnm._FilterDatabase_1513[[#This Row],[SAPSA Number]],Table1[SAPSA number],Table1[Paid up])</f>
        <v>Y</v>
      </c>
      <c r="D6" s="39" t="str">
        <f>_xlfn.XLOOKUP(__xlnm._FilterDatabase_1513[[#This Row],[SAPSA Number]],Table1[SAPSA number],Table1[Name])</f>
        <v>Hendrik Johannes</v>
      </c>
      <c r="E6" s="39" t="str">
        <f>_xlfn.XLOOKUP(__xlnm._FilterDatabase_1513[[#This Row],[SAPSA Number]],Table1[SAPSA number],Table1[Surname])</f>
        <v>Joubert</v>
      </c>
      <c r="F6" s="28" t="str">
        <f>_xlfn.XLOOKUP(__xlnm._FilterDatabase_1513[[#This Row],[SAPSA Number]],Table1[SAPSA number],Table1[Initials])</f>
        <v>HJ</v>
      </c>
      <c r="G6" s="17" t="str">
        <f ca="1">_xlfn.XLOOKUP(__xlnm._FilterDatabase_1513[[#This Row],[SAPSA Number]],Table1[SAPSA number],Table1[Gender])</f>
        <v>S</v>
      </c>
      <c r="H6" s="19" t="e">
        <f>_xlfn.XLOOKUP(__xlnm._FilterDatabase_1513[[#This Row],[SAPSA Number]],#REF!,#REF!)</f>
        <v>#REF!</v>
      </c>
      <c r="I6" s="19" t="s">
        <v>215</v>
      </c>
      <c r="J6" s="21">
        <f t="shared" si="1"/>
        <v>1</v>
      </c>
      <c r="K6" s="22">
        <f t="shared" si="2"/>
        <v>8.9306200000000011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44.653100000000002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 t="shared" si="0"/>
        <v>6</v>
      </c>
      <c r="B7" s="18">
        <v>2651</v>
      </c>
      <c r="C7" s="100" t="str">
        <f>_xlfn.XLOOKUP(__xlnm._FilterDatabase_1513[[#This Row],[SAPSA Number]],Table1[SAPSA number],Table1[Paid up])</f>
        <v>Y</v>
      </c>
      <c r="D7" s="39" t="str">
        <f>_xlfn.XLOOKUP(__xlnm._FilterDatabase_1513[[#This Row],[SAPSA Number]],Table1[SAPSA number],Table1[Name])</f>
        <v>Paul Herman</v>
      </c>
      <c r="E7" s="39" t="str">
        <f>_xlfn.XLOOKUP(__xlnm._FilterDatabase_1513[[#This Row],[SAPSA Number]],Table1[SAPSA number],Table1[Surname])</f>
        <v>Leuschner</v>
      </c>
      <c r="F7" s="28" t="str">
        <f>_xlfn.XLOOKUP(__xlnm._FilterDatabase_1513[[#This Row],[SAPSA Number]],Table1[SAPSA number],Table1[Initials])</f>
        <v>PH</v>
      </c>
      <c r="G7" s="17" t="str">
        <f ca="1">_xlfn.XLOOKUP(__xlnm._FilterDatabase_1513[[#This Row],[SAPSA Number]],Table1[SAPSA number],Table1[Gender])</f>
        <v>S</v>
      </c>
      <c r="H7" s="19" t="e">
        <f>_xlfn.XLOOKUP(__xlnm._FilterDatabase_1513[[#This Row],[SAPSA Number]],#REF!,#REF!)</f>
        <v>#REF!</v>
      </c>
      <c r="I7" s="19" t="s">
        <v>215</v>
      </c>
      <c r="J7" s="21">
        <f t="shared" si="1"/>
        <v>1</v>
      </c>
      <c r="K7" s="22">
        <f t="shared" si="2"/>
        <v>8.3641800000000011</v>
      </c>
      <c r="L7" s="23">
        <v>0</v>
      </c>
      <c r="M7" s="24">
        <v>41.820900000000002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 t="shared" si="0"/>
        <v>7</v>
      </c>
      <c r="B8" s="18">
        <v>7260</v>
      </c>
      <c r="C8" s="100">
        <f>_xlfn.XLOOKUP(__xlnm._FilterDatabase_1513[[#This Row],[SAPSA Number]],Table1[SAPSA number],Table1[Paid up])</f>
        <v>0</v>
      </c>
      <c r="D8" s="39" t="str">
        <f>_xlfn.XLOOKUP(__xlnm._FilterDatabase_1513[[#This Row],[SAPSA Number]],Table1[SAPSA number],Table1[Name])</f>
        <v>Glenn</v>
      </c>
      <c r="E8" s="39" t="str">
        <f>_xlfn.XLOOKUP(__xlnm._FilterDatabase_1513[[#This Row],[SAPSA Number]],Table1[SAPSA number],Table1[Surname])</f>
        <v>Kieser</v>
      </c>
      <c r="F8" s="28" t="str">
        <f>_xlfn.XLOOKUP(__xlnm._FilterDatabase_1513[[#This Row],[SAPSA Number]],Table1[SAPSA number],Table1[Initials])</f>
        <v>G</v>
      </c>
      <c r="G8" s="17" t="str">
        <f ca="1">_xlfn.XLOOKUP(__xlnm._FilterDatabase_1513[[#This Row],[SAPSA Number]],Table1[SAPSA number],Table1[Gender])</f>
        <v>SS</v>
      </c>
      <c r="H8" s="19" t="e">
        <f>_xlfn.XLOOKUP(__xlnm._FilterDatabase_1513[[#This Row],[SAPSA Number]],#REF!,#REF!)</f>
        <v>#REF!</v>
      </c>
      <c r="I8" s="19" t="s">
        <v>215</v>
      </c>
      <c r="J8" s="21">
        <f t="shared" si="1"/>
        <v>1</v>
      </c>
      <c r="K8" s="22">
        <f t="shared" si="2"/>
        <v>4.782</v>
      </c>
      <c r="L8" s="23">
        <v>0</v>
      </c>
      <c r="M8" s="24">
        <v>0</v>
      </c>
      <c r="N8" s="23">
        <v>23.91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 t="shared" si="0"/>
        <v>8</v>
      </c>
      <c r="B9" s="25">
        <v>1471</v>
      </c>
      <c r="C9" s="25" t="str">
        <f>_xlfn.XLOOKUP(__xlnm._FilterDatabase_1513[[#This Row],[SAPSA Number]],Table1[SAPSA number],Table1[Paid up])</f>
        <v>Y</v>
      </c>
      <c r="D9" s="39" t="str">
        <f>_xlfn.XLOOKUP(__xlnm._FilterDatabase_1513[[#This Row],[SAPSA Number]],Table1[SAPSA number],Table1[Name])</f>
        <v>Nikolaus Phillip Karl</v>
      </c>
      <c r="E9" s="39" t="str">
        <f>_xlfn.XLOOKUP(__xlnm._FilterDatabase_1513[[#This Row],[SAPSA Number]],Table1[SAPSA number],Table1[Surname])</f>
        <v>Bernhard</v>
      </c>
      <c r="F9" s="28" t="str">
        <f>_xlfn.XLOOKUP(__xlnm._FilterDatabase_1513[[#This Row],[SAPSA Number]],Table1[SAPSA number],Table1[Initials])</f>
        <v>NPK</v>
      </c>
      <c r="G9" s="17" t="str">
        <f ca="1">_xlfn.XLOOKUP(__xlnm._FilterDatabase_1513[[#This Row],[SAPSA Number]],Table1[SAPSA number],Table1[Gender])</f>
        <v xml:space="preserve"> </v>
      </c>
      <c r="H9" s="19" t="e">
        <f>_xlfn.XLOOKUP(__xlnm._FilterDatabase_1513[[#This Row],[SAPSA Number]],#REF!,#REF!)</f>
        <v>#REF!</v>
      </c>
      <c r="I9" s="19" t="s">
        <v>215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si="0"/>
        <v>8</v>
      </c>
      <c r="B10" s="25">
        <v>4624</v>
      </c>
      <c r="C10" s="25" t="str">
        <f>_xlfn.XLOOKUP(__xlnm._FilterDatabase_1513[[#This Row],[SAPSA Number]],Table1[SAPSA number],Table1[Paid up])</f>
        <v>Y</v>
      </c>
      <c r="D10" s="39" t="str">
        <f>_xlfn.XLOOKUP(__xlnm._FilterDatabase_1513[[#This Row],[SAPSA Number]],Table1[SAPSA number],Table1[Name])</f>
        <v>Stephanus Christiaan</v>
      </c>
      <c r="E10" s="39" t="str">
        <f>_xlfn.XLOOKUP(__xlnm._FilterDatabase_1513[[#This Row],[SAPSA Number]],Table1[SAPSA number],Table1[Surname])</f>
        <v>Bester</v>
      </c>
      <c r="F10" s="28" t="str">
        <f>_xlfn.XLOOKUP(__xlnm._FilterDatabase_1513[[#This Row],[SAPSA Number]],Table1[SAPSA number],Table1[Initials])</f>
        <v>SC</v>
      </c>
      <c r="G10" s="17" t="str">
        <f ca="1">_xlfn.XLOOKUP(__xlnm._FilterDatabase_1513[[#This Row],[SAPSA Number]],Table1[SAPSA number],Table1[Gender])</f>
        <v>S</v>
      </c>
      <c r="H10" s="19" t="e">
        <f>_xlfn.XLOOKUP(__xlnm._FilterDatabase_1513[[#This Row],[SAPSA Number]],#REF!,#REF!)</f>
        <v>#REF!</v>
      </c>
      <c r="I10" s="19" t="s">
        <v>215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0"/>
        <v>8</v>
      </c>
      <c r="B11" s="25">
        <v>7431</v>
      </c>
      <c r="C11" s="25">
        <f>_xlfn.XLOOKUP(__xlnm._FilterDatabase_1513[[#This Row],[SAPSA Number]],Table1[SAPSA number],Table1[Paid up])</f>
        <v>0</v>
      </c>
      <c r="D11" s="39" t="str">
        <f>_xlfn.XLOOKUP(__xlnm._FilterDatabase_1513[[#This Row],[SAPSA Number]],Table1[SAPSA number],Table1[Name])</f>
        <v>Anton</v>
      </c>
      <c r="E11" s="39" t="str">
        <f>_xlfn.XLOOKUP(__xlnm._FilterDatabase_1513[[#This Row],[SAPSA Number]],Table1[SAPSA number],Table1[Surname])</f>
        <v>Booyse</v>
      </c>
      <c r="F11" s="28" t="str">
        <f>_xlfn.XLOOKUP(__xlnm._FilterDatabase_1513[[#This Row],[SAPSA Number]],Table1[SAPSA number],Table1[Initials])</f>
        <v>A</v>
      </c>
      <c r="G11" s="17">
        <f>_xlfn.XLOOKUP(__xlnm._FilterDatabase_1513[[#This Row],[SAPSA Number]],Table1[SAPSA number],Table1[Gender])</f>
        <v>0</v>
      </c>
      <c r="H11" s="19" t="e">
        <f>_xlfn.XLOOKUP(__xlnm._FilterDatabase_1513[[#This Row],[SAPSA Number]],#REF!,#REF!)</f>
        <v>#REF!</v>
      </c>
      <c r="I11" s="19" t="s">
        <v>215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0"/>
        <v>8</v>
      </c>
      <c r="B12" s="25">
        <v>3349</v>
      </c>
      <c r="C12" s="25">
        <f>_xlfn.XLOOKUP(__xlnm._FilterDatabase_1513[[#This Row],[SAPSA Number]],Table1[SAPSA number],Table1[Paid up])</f>
        <v>0</v>
      </c>
      <c r="D12" s="39" t="str">
        <f>_xlfn.XLOOKUP(__xlnm._FilterDatabase_1513[[#This Row],[SAPSA Number]],Table1[SAPSA number],Table1[Name])</f>
        <v>Stefanus Christiaan</v>
      </c>
      <c r="E12" s="39" t="str">
        <f>_xlfn.XLOOKUP(__xlnm._FilterDatabase_1513[[#This Row],[SAPSA Number]],Table1[SAPSA number],Table1[Surname])</f>
        <v>Bosch</v>
      </c>
      <c r="F12" s="28" t="str">
        <f>_xlfn.XLOOKUP(__xlnm._FilterDatabase_1513[[#This Row],[SAPSA Number]],Table1[SAPSA number],Table1[Initials])</f>
        <v>SC</v>
      </c>
      <c r="G12" s="17" t="str">
        <f ca="1">_xlfn.XLOOKUP(__xlnm._FilterDatabase_1513[[#This Row],[SAPSA Number]],Table1[SAPSA number],Table1[Gender])</f>
        <v>S</v>
      </c>
      <c r="H12" s="19" t="e">
        <f>_xlfn.XLOOKUP(__xlnm._FilterDatabase_1513[[#This Row],[SAPSA Number]],#REF!,#REF!)</f>
        <v>#REF!</v>
      </c>
      <c r="I12" s="19" t="s">
        <v>215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0"/>
        <v>8</v>
      </c>
      <c r="B13" s="18">
        <v>4621</v>
      </c>
      <c r="C13" s="100">
        <f>_xlfn.XLOOKUP(__xlnm._FilterDatabase_1513[[#This Row],[SAPSA Number]],Table1[SAPSA number],Table1[Paid up])</f>
        <v>0</v>
      </c>
      <c r="D13" s="39" t="str">
        <f>_xlfn.XLOOKUP(__xlnm._FilterDatabase_1513[[#This Row],[SAPSA Number]],Table1[SAPSA number],Table1[Name])</f>
        <v>Colin</v>
      </c>
      <c r="E13" s="39" t="str">
        <f>_xlfn.XLOOKUP(__xlnm._FilterDatabase_1513[[#This Row],[SAPSA Number]],Table1[SAPSA number],Table1[Surname])</f>
        <v>Bowring</v>
      </c>
      <c r="F13" s="28" t="str">
        <f>_xlfn.XLOOKUP(__xlnm._FilterDatabase_1513[[#This Row],[SAPSA Number]],Table1[SAPSA number],Table1[Initials])</f>
        <v>C</v>
      </c>
      <c r="G13" s="17" t="str">
        <f ca="1">_xlfn.XLOOKUP(__xlnm._FilterDatabase_1513[[#This Row],[SAPSA Number]],Table1[SAPSA number],Table1[Gender])</f>
        <v>SS</v>
      </c>
      <c r="H13" s="19" t="e">
        <f>_xlfn.XLOOKUP(__xlnm._FilterDatabase_1513[[#This Row],[SAPSA Number]],#REF!,#REF!)</f>
        <v>#REF!</v>
      </c>
      <c r="I13" s="19" t="s">
        <v>215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0"/>
        <v>8</v>
      </c>
      <c r="B14" s="18">
        <v>3338</v>
      </c>
      <c r="C14" s="100">
        <f>_xlfn.XLOOKUP(__xlnm._FilterDatabase_1513[[#This Row],[SAPSA Number]],Table1[SAPSA number],Table1[Paid up])</f>
        <v>0</v>
      </c>
      <c r="D14" s="39" t="str">
        <f>_xlfn.XLOOKUP(__xlnm._FilterDatabase_1513[[#This Row],[SAPSA Number]],Table1[SAPSA number],Table1[Name])</f>
        <v>Carl Johann</v>
      </c>
      <c r="E14" s="39" t="str">
        <f>_xlfn.XLOOKUP(__xlnm._FilterDatabase_1513[[#This Row],[SAPSA Number]],Table1[SAPSA number],Table1[Surname])</f>
        <v>Brandt</v>
      </c>
      <c r="F14" s="28" t="str">
        <f>_xlfn.XLOOKUP(__xlnm._FilterDatabase_1513[[#This Row],[SAPSA Number]],Table1[SAPSA number],Table1[Initials])</f>
        <v>CJ</v>
      </c>
      <c r="G14" s="17" t="str">
        <f ca="1">_xlfn.XLOOKUP(__xlnm._FilterDatabase_1513[[#This Row],[SAPSA Number]],Table1[SAPSA number],Table1[Gender])</f>
        <v>S</v>
      </c>
      <c r="H14" s="19" t="e">
        <f>_xlfn.XLOOKUP(__xlnm._FilterDatabase_1513[[#This Row],[SAPSA Number]],#REF!,#REF!)</f>
        <v>#REF!</v>
      </c>
      <c r="I14" s="19" t="s">
        <v>215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0"/>
        <v>8</v>
      </c>
      <c r="B15" s="25">
        <v>3350</v>
      </c>
      <c r="C15" s="25">
        <f>_xlfn.XLOOKUP(__xlnm._FilterDatabase_1513[[#This Row],[SAPSA Number]],Table1[SAPSA number],Table1[Paid up])</f>
        <v>0</v>
      </c>
      <c r="D15" s="39" t="str">
        <f>_xlfn.XLOOKUP(__xlnm._FilterDatabase_1513[[#This Row],[SAPSA Number]],Table1[SAPSA number],Table1[Name])</f>
        <v>Conrad Ernest</v>
      </c>
      <c r="E15" s="39" t="str">
        <f>_xlfn.XLOOKUP(__xlnm._FilterDatabase_1513[[#This Row],[SAPSA Number]],Table1[SAPSA number],Table1[Surname])</f>
        <v>Brandt</v>
      </c>
      <c r="F15" s="28" t="str">
        <f>_xlfn.XLOOKUP(__xlnm._FilterDatabase_1513[[#This Row],[SAPSA Number]],Table1[SAPSA number],Table1[Initials])</f>
        <v>CE</v>
      </c>
      <c r="G15" s="17" t="str">
        <f ca="1">_xlfn.XLOOKUP(__xlnm._FilterDatabase_1513[[#This Row],[SAPSA Number]],Table1[SAPSA number],Table1[Gender])</f>
        <v>S</v>
      </c>
      <c r="H15" s="19" t="e">
        <f>_xlfn.XLOOKUP(__xlnm._FilterDatabase_1513[[#This Row],[SAPSA Number]],#REF!,#REF!)</f>
        <v>#REF!</v>
      </c>
      <c r="I15" s="19" t="s">
        <v>215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0"/>
        <v>8</v>
      </c>
      <c r="B16" s="25">
        <v>3576</v>
      </c>
      <c r="C16" s="25" t="str">
        <f>_xlfn.XLOOKUP(__xlnm._FilterDatabase_1513[[#This Row],[SAPSA Number]],Table1[SAPSA number],Table1[Paid up])</f>
        <v>Y</v>
      </c>
      <c r="D16" s="39" t="str">
        <f>_xlfn.XLOOKUP(__xlnm._FilterDatabase_1513[[#This Row],[SAPSA Number]],Table1[SAPSA number],Table1[Name])</f>
        <v>Christoff Mechiel</v>
      </c>
      <c r="E16" s="39" t="str">
        <f>_xlfn.XLOOKUP(__xlnm._FilterDatabase_1513[[#This Row],[SAPSA Number]],Table1[SAPSA number],Table1[Surname])</f>
        <v>Brandt</v>
      </c>
      <c r="F16" s="28" t="str">
        <f>_xlfn.XLOOKUP(__xlnm._FilterDatabase_1513[[#This Row],[SAPSA Number]],Table1[SAPSA number],Table1[Initials])</f>
        <v>CM</v>
      </c>
      <c r="G16" s="17" t="str">
        <f ca="1">_xlfn.XLOOKUP(__xlnm._FilterDatabase_1513[[#This Row],[SAPSA Number]],Table1[SAPSA number],Table1[Gender])</f>
        <v xml:space="preserve"> </v>
      </c>
      <c r="H16" s="19" t="e">
        <f>_xlfn.XLOOKUP(__xlnm._FilterDatabase_1513[[#This Row],[SAPSA Number]],#REF!,#REF!)</f>
        <v>#REF!</v>
      </c>
      <c r="I16" s="19" t="s">
        <v>215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0"/>
        <v>8</v>
      </c>
      <c r="B17" s="40">
        <v>5304</v>
      </c>
      <c r="C17" s="25">
        <f>_xlfn.XLOOKUP(__xlnm._FilterDatabase_1513[[#This Row],[SAPSA Number]],Table1[SAPSA number],Table1[Paid up])</f>
        <v>0</v>
      </c>
      <c r="D17" s="39" t="str">
        <f>_xlfn.XLOOKUP(__xlnm._FilterDatabase_1513[[#This Row],[SAPSA Number]],Table1[SAPSA number],Table1[Name])</f>
        <v>Johan Gerard</v>
      </c>
      <c r="E17" s="39" t="str">
        <f>_xlfn.XLOOKUP(__xlnm._FilterDatabase_1513[[#This Row],[SAPSA Number]],Table1[SAPSA number],Table1[Surname])</f>
        <v>Bultman</v>
      </c>
      <c r="F17" s="28" t="str">
        <f>_xlfn.XLOOKUP(__xlnm._FilterDatabase_1513[[#This Row],[SAPSA Number]],Table1[SAPSA number],Table1[Initials])</f>
        <v>JG</v>
      </c>
      <c r="G17" s="17" t="str">
        <f ca="1">_xlfn.XLOOKUP(__xlnm._FilterDatabase_1513[[#This Row],[SAPSA Number]],Table1[SAPSA number],Table1[Gender])</f>
        <v xml:space="preserve"> </v>
      </c>
      <c r="H17" s="19" t="e">
        <f>_xlfn.XLOOKUP(__xlnm._FilterDatabase_1513[[#This Row],[SAPSA Number]],#REF!,#REF!)</f>
        <v>#REF!</v>
      </c>
      <c r="I17" s="19" t="s">
        <v>215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0"/>
        <v>8</v>
      </c>
      <c r="B18" s="25">
        <v>259</v>
      </c>
      <c r="C18" s="25" t="str">
        <f>_xlfn.XLOOKUP(__xlnm._FilterDatabase_1513[[#This Row],[SAPSA Number]],Table1[SAPSA number],Table1[Paid up])</f>
        <v>Y</v>
      </c>
      <c r="D18" s="39" t="str">
        <f>_xlfn.XLOOKUP(__xlnm._FilterDatabase_1513[[#This Row],[SAPSA Number]],Table1[SAPSA number],Table1[Name])</f>
        <v>Kathleen Beresford</v>
      </c>
      <c r="E18" s="39" t="str">
        <f>_xlfn.XLOOKUP(__xlnm._FilterDatabase_1513[[#This Row],[SAPSA Number]],Table1[SAPSA number],Table1[Surname])</f>
        <v>Carter</v>
      </c>
      <c r="F18" s="28" t="str">
        <f>_xlfn.XLOOKUP(__xlnm._FilterDatabase_1513[[#This Row],[SAPSA Number]],Table1[SAPSA number],Table1[Initials])</f>
        <v>KB</v>
      </c>
      <c r="G18" s="17" t="str">
        <f>_xlfn.XLOOKUP(__xlnm._FilterDatabase_1513[[#This Row],[SAPSA Number]],Table1[SAPSA number],Table1[Gender])</f>
        <v>Lady</v>
      </c>
      <c r="H18" s="19" t="e">
        <f>_xlfn.XLOOKUP(__xlnm._FilterDatabase_1513[[#This Row],[SAPSA Number]],#REF!,#REF!)</f>
        <v>#REF!</v>
      </c>
      <c r="I18" s="19" t="s">
        <v>215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0"/>
        <v>8</v>
      </c>
      <c r="B19" s="25">
        <v>4316</v>
      </c>
      <c r="C19" s="25" t="str">
        <f>_xlfn.XLOOKUP(__xlnm._FilterDatabase_1513[[#This Row],[SAPSA Number]],Table1[SAPSA number],Table1[Paid up])</f>
        <v>Y</v>
      </c>
      <c r="D19" s="39" t="str">
        <f>_xlfn.XLOOKUP(__xlnm._FilterDatabase_1513[[#This Row],[SAPSA Number]],Table1[SAPSA number],Table1[Name])</f>
        <v>Wilhelm Jacobus</v>
      </c>
      <c r="E19" s="39" t="str">
        <f>_xlfn.XLOOKUP(__xlnm._FilterDatabase_1513[[#This Row],[SAPSA Number]],Table1[SAPSA number],Table1[Surname])</f>
        <v>Coetzee</v>
      </c>
      <c r="F19" s="28" t="str">
        <f>_xlfn.XLOOKUP(__xlnm._FilterDatabase_1513[[#This Row],[SAPSA Number]],Table1[SAPSA number],Table1[Initials])</f>
        <v>WJ</v>
      </c>
      <c r="G19" s="17" t="str">
        <f ca="1">_xlfn.XLOOKUP(__xlnm._FilterDatabase_1513[[#This Row],[SAPSA Number]],Table1[SAPSA number],Table1[Gender])</f>
        <v>S</v>
      </c>
      <c r="H19" s="19" t="e">
        <f>_xlfn.XLOOKUP(__xlnm._FilterDatabase_1513[[#This Row],[SAPSA Number]],#REF!,#REF!)</f>
        <v>#REF!</v>
      </c>
      <c r="I19" s="19" t="s">
        <v>215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0"/>
        <v>8</v>
      </c>
      <c r="B20" s="25">
        <v>591</v>
      </c>
      <c r="C20" s="25" t="str">
        <f>_xlfn.XLOOKUP(__xlnm._FilterDatabase_1513[[#This Row],[SAPSA Number]],Table1[SAPSA number],Table1[Paid up])</f>
        <v>Y</v>
      </c>
      <c r="D20" s="39" t="str">
        <f>_xlfn.XLOOKUP(__xlnm._FilterDatabase_1513[[#This Row],[SAPSA Number]],Table1[SAPSA number],Table1[Name])</f>
        <v>Enrico</v>
      </c>
      <c r="E20" s="39" t="str">
        <f>_xlfn.XLOOKUP(__xlnm._FilterDatabase_1513[[#This Row],[SAPSA Number]],Table1[SAPSA number],Table1[Surname])</f>
        <v>Cupido</v>
      </c>
      <c r="F20" s="28" t="str">
        <f>_xlfn.XLOOKUP(__xlnm._FilterDatabase_1513[[#This Row],[SAPSA Number]],Table1[SAPSA number],Table1[Initials])</f>
        <v>E</v>
      </c>
      <c r="G20" s="17" t="str">
        <f ca="1">_xlfn.XLOOKUP(__xlnm._FilterDatabase_1513[[#This Row],[SAPSA Number]],Table1[SAPSA number],Table1[Gender])</f>
        <v>GS</v>
      </c>
      <c r="H20" s="19" t="e">
        <f>_xlfn.XLOOKUP(__xlnm._FilterDatabase_1513[[#This Row],[SAPSA Number]],#REF!,#REF!)</f>
        <v>#REF!</v>
      </c>
      <c r="I20" s="19" t="s">
        <v>215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0"/>
        <v>8</v>
      </c>
      <c r="B21" s="25">
        <v>601</v>
      </c>
      <c r="C21" s="25" t="str">
        <f>_xlfn.XLOOKUP(__xlnm._FilterDatabase_1513[[#This Row],[SAPSA Number]],Table1[SAPSA number],Table1[Paid up])</f>
        <v>Y</v>
      </c>
      <c r="D21" s="39" t="str">
        <f>_xlfn.XLOOKUP(__xlnm._FilterDatabase_1513[[#This Row],[SAPSA Number]],Table1[SAPSA number],Table1[Name])</f>
        <v>Piero</v>
      </c>
      <c r="E21" s="39" t="str">
        <f>_xlfn.XLOOKUP(__xlnm._FilterDatabase_1513[[#This Row],[SAPSA Number]],Table1[SAPSA number],Table1[Surname])</f>
        <v>Cupido</v>
      </c>
      <c r="F21" s="28" t="str">
        <f>_xlfn.XLOOKUP(__xlnm._FilterDatabase_1513[[#This Row],[SAPSA Number]],Table1[SAPSA number],Table1[Initials])</f>
        <v>P</v>
      </c>
      <c r="G21" s="17" t="str">
        <f ca="1">_xlfn.XLOOKUP(__xlnm._FilterDatabase_1513[[#This Row],[SAPSA Number]],Table1[SAPSA number],Table1[Gender])</f>
        <v xml:space="preserve"> </v>
      </c>
      <c r="H21" s="19" t="e">
        <f>_xlfn.XLOOKUP(__xlnm._FilterDatabase_1513[[#This Row],[SAPSA Number]],#REF!,#REF!)</f>
        <v>#REF!</v>
      </c>
      <c r="I21" s="19" t="s">
        <v>215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0"/>
        <v>8</v>
      </c>
      <c r="B22" s="25">
        <v>288</v>
      </c>
      <c r="C22" s="25" t="str">
        <f>_xlfn.XLOOKUP(__xlnm._FilterDatabase_1513[[#This Row],[SAPSA Number]],Table1[SAPSA number],Table1[Paid up])</f>
        <v>Y</v>
      </c>
      <c r="D22" s="39" t="str">
        <f>_xlfn.XLOOKUP(__xlnm._FilterDatabase_1513[[#This Row],[SAPSA Number]],Table1[SAPSA number],Table1[Name])</f>
        <v>Feroz</v>
      </c>
      <c r="E22" s="39" t="str">
        <f>_xlfn.XLOOKUP(__xlnm._FilterDatabase_1513[[#This Row],[SAPSA Number]],Table1[SAPSA number],Table1[Surname])</f>
        <v>Daya</v>
      </c>
      <c r="F22" s="28" t="str">
        <f>_xlfn.XLOOKUP(__xlnm._FilterDatabase_1513[[#This Row],[SAPSA Number]],Table1[SAPSA number],Table1[Initials])</f>
        <v>F</v>
      </c>
      <c r="G22" s="17" t="str">
        <f ca="1">_xlfn.XLOOKUP(__xlnm._FilterDatabase_1513[[#This Row],[SAPSA Number]],Table1[SAPSA number],Table1[Gender])</f>
        <v>S</v>
      </c>
      <c r="H22" s="19" t="e">
        <f>_xlfn.XLOOKUP(__xlnm._FilterDatabase_1513[[#This Row],[SAPSA Number]],#REF!,#REF!)</f>
        <v>#REF!</v>
      </c>
      <c r="I22" s="19" t="s">
        <v>215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0"/>
        <v>8</v>
      </c>
      <c r="B23" s="25">
        <v>6846</v>
      </c>
      <c r="C23" s="25">
        <f>_xlfn.XLOOKUP(__xlnm._FilterDatabase_1513[[#This Row],[SAPSA Number]],Table1[SAPSA number],Table1[Paid up])</f>
        <v>0</v>
      </c>
      <c r="D23" s="39" t="str">
        <f>_xlfn.XLOOKUP(__xlnm._FilterDatabase_1513[[#This Row],[SAPSA Number]],Table1[SAPSA number],Table1[Name])</f>
        <v>Daniel Stephanus Jacobus</v>
      </c>
      <c r="E23" s="39" t="str">
        <f>_xlfn.XLOOKUP(__xlnm._FilterDatabase_1513[[#This Row],[SAPSA Number]],Table1[SAPSA number],Table1[Surname])</f>
        <v>Dreyer</v>
      </c>
      <c r="F23" s="28" t="str">
        <f>_xlfn.XLOOKUP(__xlnm._FilterDatabase_1513[[#This Row],[SAPSA Number]],Table1[SAPSA number],Table1[Initials])</f>
        <v>DSJ</v>
      </c>
      <c r="G23" s="17" t="str">
        <f ca="1">_xlfn.XLOOKUP(__xlnm._FilterDatabase_1513[[#This Row],[SAPSA Number]],Table1[SAPSA number],Table1[Gender])</f>
        <v xml:space="preserve"> </v>
      </c>
      <c r="H23" s="19" t="e">
        <f>_xlfn.XLOOKUP(__xlnm._FilterDatabase_1513[[#This Row],[SAPSA Number]],#REF!,#REF!)</f>
        <v>#REF!</v>
      </c>
      <c r="I23" s="19" t="s">
        <v>215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0"/>
        <v>8</v>
      </c>
      <c r="B24" s="25">
        <v>392</v>
      </c>
      <c r="C24" s="25" t="str">
        <f>_xlfn.XLOOKUP(__xlnm._FilterDatabase_1513[[#This Row],[SAPSA Number]],Table1[SAPSA number],Table1[Paid up])</f>
        <v>Y</v>
      </c>
      <c r="D24" s="39" t="str">
        <f>_xlfn.XLOOKUP(__xlnm._FilterDatabase_1513[[#This Row],[SAPSA Number]],Table1[SAPSA number],Table1[Name])</f>
        <v>Sasha-Lee</v>
      </c>
      <c r="E24" s="39" t="str">
        <f>_xlfn.XLOOKUP(__xlnm._FilterDatabase_1513[[#This Row],[SAPSA Number]],Table1[SAPSA number],Table1[Surname])</f>
        <v>Du Plessis</v>
      </c>
      <c r="F24" s="28" t="str">
        <f>_xlfn.XLOOKUP(__xlnm._FilterDatabase_1513[[#This Row],[SAPSA Number]],Table1[SAPSA number],Table1[Initials])</f>
        <v>SL</v>
      </c>
      <c r="G24" s="17" t="str">
        <f>_xlfn.XLOOKUP(__xlnm._FilterDatabase_1513[[#This Row],[SAPSA Number]],Table1[SAPSA number],Table1[Gender])</f>
        <v>Lady</v>
      </c>
      <c r="H24" s="19" t="e">
        <f>_xlfn.XLOOKUP(__xlnm._FilterDatabase_1513[[#This Row],[SAPSA Number]],#REF!,#REF!)</f>
        <v>#REF!</v>
      </c>
      <c r="I24" s="19" t="s">
        <v>215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0"/>
        <v>8</v>
      </c>
      <c r="B25" s="18">
        <v>127</v>
      </c>
      <c r="C25" s="100" t="str">
        <f>_xlfn.XLOOKUP(__xlnm._FilterDatabase_1513[[#This Row],[SAPSA Number]],Table1[SAPSA number],Table1[Paid up])</f>
        <v>Y</v>
      </c>
      <c r="D25" s="39" t="str">
        <f>_xlfn.XLOOKUP(__xlnm._FilterDatabase_1513[[#This Row],[SAPSA Number]],Table1[SAPSA number],Table1[Name])</f>
        <v>Eurika Susara</v>
      </c>
      <c r="E25" s="39" t="str">
        <f>_xlfn.XLOOKUP(__xlnm._FilterDatabase_1513[[#This Row],[SAPSA Number]],Table1[SAPSA number],Table1[Surname])</f>
        <v>Du Plooy</v>
      </c>
      <c r="F25" s="28" t="str">
        <f>_xlfn.XLOOKUP(__xlnm._FilterDatabase_1513[[#This Row],[SAPSA Number]],Table1[SAPSA number],Table1[Initials])</f>
        <v>E</v>
      </c>
      <c r="G25" s="17" t="str">
        <f>_xlfn.XLOOKUP(__xlnm._FilterDatabase_1513[[#This Row],[SAPSA Number]],Table1[SAPSA number],Table1[Gender])</f>
        <v>SS</v>
      </c>
      <c r="H25" s="19" t="e">
        <f>_xlfn.XLOOKUP(__xlnm._FilterDatabase_1513[[#This Row],[SAPSA Number]],#REF!,#REF!)</f>
        <v>#REF!</v>
      </c>
      <c r="I25" s="19" t="s">
        <v>215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0"/>
        <v>8</v>
      </c>
      <c r="B26" s="25">
        <v>3173</v>
      </c>
      <c r="C26" s="25" t="str">
        <f>_xlfn.XLOOKUP(__xlnm._FilterDatabase_1513[[#This Row],[SAPSA Number]],Table1[SAPSA number],Table1[Paid up])</f>
        <v>Y</v>
      </c>
      <c r="D26" s="39" t="str">
        <f>_xlfn.XLOOKUP(__xlnm._FilterDatabase_1513[[#This Row],[SAPSA Number]],Table1[SAPSA number],Table1[Name])</f>
        <v>Garrett-John</v>
      </c>
      <c r="E26" s="39" t="str">
        <f>_xlfn.XLOOKUP(__xlnm._FilterDatabase_1513[[#This Row],[SAPSA Number]],Table1[SAPSA number],Table1[Surname])</f>
        <v>Evans</v>
      </c>
      <c r="F26" s="28" t="str">
        <f>_xlfn.XLOOKUP(__xlnm._FilterDatabase_1513[[#This Row],[SAPSA Number]],Table1[SAPSA number],Table1[Initials])</f>
        <v>G-J</v>
      </c>
      <c r="G26" s="17" t="str">
        <f ca="1">_xlfn.XLOOKUP(__xlnm._FilterDatabase_1513[[#This Row],[SAPSA Number]],Table1[SAPSA number],Table1[Gender])</f>
        <v xml:space="preserve"> </v>
      </c>
      <c r="H26" s="19" t="e">
        <f>_xlfn.XLOOKUP(__xlnm._FilterDatabase_1513[[#This Row],[SAPSA Number]],#REF!,#REF!)</f>
        <v>#REF!</v>
      </c>
      <c r="I26" s="19" t="s">
        <v>215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0"/>
        <v>8</v>
      </c>
      <c r="B27" s="40">
        <v>7434</v>
      </c>
      <c r="C27" s="25">
        <f>_xlfn.XLOOKUP(__xlnm._FilterDatabase_1513[[#This Row],[SAPSA Number]],Table1[SAPSA number],Table1[Paid up])</f>
        <v>0</v>
      </c>
      <c r="D27" s="39" t="str">
        <f>_xlfn.XLOOKUP(__xlnm._FilterDatabase_1513[[#This Row],[SAPSA Number]],Table1[SAPSA number],Table1[Name])</f>
        <v>Shannon Kimberley</v>
      </c>
      <c r="E27" s="39" t="str">
        <f>_xlfn.XLOOKUP(__xlnm._FilterDatabase_1513[[#This Row],[SAPSA Number]],Table1[SAPSA number],Table1[Surname])</f>
        <v>Gahagan</v>
      </c>
      <c r="F27" s="28" t="str">
        <f>_xlfn.XLOOKUP(__xlnm._FilterDatabase_1513[[#This Row],[SAPSA Number]],Table1[SAPSA number],Table1[Initials])</f>
        <v>S</v>
      </c>
      <c r="G27" s="17" t="str">
        <f>_xlfn.XLOOKUP(__xlnm._FilterDatabase_1513[[#This Row],[SAPSA Number]],Table1[SAPSA number],Table1[Gender])</f>
        <v>Lady</v>
      </c>
      <c r="H27" s="19" t="e">
        <f>_xlfn.XLOOKUP(__xlnm._FilterDatabase_1513[[#This Row],[SAPSA Number]],#REF!,#REF!)</f>
        <v>#REF!</v>
      </c>
      <c r="I27" s="19"/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0"/>
        <v>8</v>
      </c>
      <c r="B28" s="25">
        <v>3782</v>
      </c>
      <c r="C28" s="25">
        <f>_xlfn.XLOOKUP(__xlnm._FilterDatabase_1513[[#This Row],[SAPSA Number]],Table1[SAPSA number],Table1[Paid up])</f>
        <v>0</v>
      </c>
      <c r="D28" s="39" t="str">
        <f>_xlfn.XLOOKUP(__xlnm._FilterDatabase_1513[[#This Row],[SAPSA Number]],Table1[SAPSA number],Table1[Name])</f>
        <v>Gary Athol</v>
      </c>
      <c r="E28" s="39" t="str">
        <f>_xlfn.XLOOKUP(__xlnm._FilterDatabase_1513[[#This Row],[SAPSA Number]],Table1[SAPSA number],Table1[Surname])</f>
        <v>Hagemann</v>
      </c>
      <c r="F28" s="28" t="str">
        <f>_xlfn.XLOOKUP(__xlnm._FilterDatabase_1513[[#This Row],[SAPSA Number]],Table1[SAPSA number],Table1[Initials])</f>
        <v>GA</v>
      </c>
      <c r="G28" s="17" t="str">
        <f ca="1">_xlfn.XLOOKUP(__xlnm._FilterDatabase_1513[[#This Row],[SAPSA Number]],Table1[SAPSA number],Table1[Gender])</f>
        <v>S</v>
      </c>
      <c r="H28" s="19" t="e">
        <f>_xlfn.XLOOKUP(__xlnm._FilterDatabase_1513[[#This Row],[SAPSA Number]],#REF!,#REF!)</f>
        <v>#REF!</v>
      </c>
      <c r="I28" s="19" t="s">
        <v>215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0"/>
        <v>8</v>
      </c>
      <c r="B29" s="25">
        <v>6308</v>
      </c>
      <c r="C29" s="25">
        <f>_xlfn.XLOOKUP(__xlnm._FilterDatabase_1513[[#This Row],[SAPSA Number]],Table1[SAPSA number],Table1[Paid up])</f>
        <v>0</v>
      </c>
      <c r="D29" s="39" t="str">
        <f>_xlfn.XLOOKUP(__xlnm._FilterDatabase_1513[[#This Row],[SAPSA Number]],Table1[SAPSA number],Table1[Name])</f>
        <v>James Matthew</v>
      </c>
      <c r="E29" s="39" t="str">
        <f>_xlfn.XLOOKUP(__xlnm._FilterDatabase_1513[[#This Row],[SAPSA Number]],Table1[SAPSA number],Table1[Surname])</f>
        <v>Hagemann</v>
      </c>
      <c r="F29" s="28" t="str">
        <f>_xlfn.XLOOKUP(__xlnm._FilterDatabase_1513[[#This Row],[SAPSA Number]],Table1[SAPSA number],Table1[Initials])</f>
        <v>JM</v>
      </c>
      <c r="G29" s="17" t="str">
        <f ca="1">_xlfn.XLOOKUP(__xlnm._FilterDatabase_1513[[#This Row],[SAPSA Number]],Table1[SAPSA number],Table1[Gender])</f>
        <v>Jnr</v>
      </c>
      <c r="H29" s="19" t="e">
        <f>_xlfn.XLOOKUP(__xlnm._FilterDatabase_1513[[#This Row],[SAPSA Number]],#REF!,#REF!)</f>
        <v>#REF!</v>
      </c>
      <c r="I29" s="19" t="s">
        <v>215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0"/>
        <v>8</v>
      </c>
      <c r="B30" s="86">
        <v>7328</v>
      </c>
      <c r="C30" s="99" t="str">
        <f>_xlfn.XLOOKUP(__xlnm._FilterDatabase_1513[[#This Row],[SAPSA Number]],Table1[SAPSA number],Table1[Paid up])</f>
        <v>Y</v>
      </c>
      <c r="D30" s="39" t="str">
        <f>_xlfn.XLOOKUP(__xlnm._FilterDatabase_1513[[#This Row],[SAPSA Number]],Table1[SAPSA number],Table1[Name])</f>
        <v>Sizwe</v>
      </c>
      <c r="E30" s="39" t="str">
        <f>_xlfn.XLOOKUP(__xlnm._FilterDatabase_1513[[#This Row],[SAPSA Number]],Table1[SAPSA number],Table1[Surname])</f>
        <v>Hlongwane</v>
      </c>
      <c r="F30" s="28" t="str">
        <f>_xlfn.XLOOKUP(__xlnm._FilterDatabase_1513[[#This Row],[SAPSA Number]],Table1[SAPSA number],Table1[Initials])</f>
        <v>S</v>
      </c>
      <c r="G30" s="17" t="str">
        <f ca="1">_xlfn.XLOOKUP(__xlnm._FilterDatabase_1513[[#This Row],[SAPSA Number]],Table1[SAPSA number],Table1[Gender])</f>
        <v xml:space="preserve"> </v>
      </c>
      <c r="H30" s="19" t="e">
        <f>_xlfn.XLOOKUP(__xlnm._FilterDatabase_1513[[#This Row],[SAPSA Number]],#REF!,#REF!)</f>
        <v>#REF!</v>
      </c>
      <c r="I30" s="19" t="s">
        <v>215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0"/>
        <v>8</v>
      </c>
      <c r="B31" s="86">
        <v>7271</v>
      </c>
      <c r="C31" s="99" t="str">
        <f>_xlfn.XLOOKUP(__xlnm._FilterDatabase_1513[[#This Row],[SAPSA Number]],Table1[SAPSA number],Table1[Paid up])</f>
        <v>Y</v>
      </c>
      <c r="D31" s="39" t="str">
        <f>_xlfn.XLOOKUP(__xlnm._FilterDatabase_1513[[#This Row],[SAPSA Number]],Table1[SAPSA number],Table1[Name])</f>
        <v>Johan</v>
      </c>
      <c r="E31" s="39" t="str">
        <f>_xlfn.XLOOKUP(__xlnm._FilterDatabase_1513[[#This Row],[SAPSA Number]],Table1[SAPSA number],Table1[Surname])</f>
        <v>Jacobs</v>
      </c>
      <c r="F31" s="28" t="str">
        <f>_xlfn.XLOOKUP(__xlnm._FilterDatabase_1513[[#This Row],[SAPSA Number]],Table1[SAPSA number],Table1[Initials])</f>
        <v>J</v>
      </c>
      <c r="G31" s="17" t="str">
        <f ca="1">_xlfn.XLOOKUP(__xlnm._FilterDatabase_1513[[#This Row],[SAPSA Number]],Table1[SAPSA number],Table1[Gender])</f>
        <v xml:space="preserve"> </v>
      </c>
      <c r="H31" s="19" t="e">
        <f>_xlfn.XLOOKUP(__xlnm._FilterDatabase_1513[[#This Row],[SAPSA Number]],#REF!,#REF!)</f>
        <v>#REF!</v>
      </c>
      <c r="I31" s="19" t="s">
        <v>215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0"/>
        <v>8</v>
      </c>
      <c r="B32" s="26">
        <v>2655</v>
      </c>
      <c r="C32" s="26" t="str">
        <f>_xlfn.XLOOKUP(__xlnm._FilterDatabase_1513[[#This Row],[SAPSA Number]],Table1[SAPSA number],Table1[Paid up])</f>
        <v>Y</v>
      </c>
      <c r="D32" s="39" t="str">
        <f>_xlfn.XLOOKUP(__xlnm._FilterDatabase_1513[[#This Row],[SAPSA Number]],Table1[SAPSA number],Table1[Name])</f>
        <v>Ruben</v>
      </c>
      <c r="E32" s="39" t="str">
        <f>_xlfn.XLOOKUP(__xlnm._FilterDatabase_1513[[#This Row],[SAPSA Number]],Table1[SAPSA number],Table1[Surname])</f>
        <v>Joubert</v>
      </c>
      <c r="F32" s="28" t="str">
        <f>_xlfn.XLOOKUP(__xlnm._FilterDatabase_1513[[#This Row],[SAPSA Number]],Table1[SAPSA number],Table1[Initials])</f>
        <v>R</v>
      </c>
      <c r="G32" s="17" t="str">
        <f ca="1">_xlfn.XLOOKUP(__xlnm._FilterDatabase_1513[[#This Row],[SAPSA Number]],Table1[SAPSA number],Table1[Gender])</f>
        <v>Jnr</v>
      </c>
      <c r="H32" s="19" t="e">
        <f>_xlfn.XLOOKUP(__xlnm._FilterDatabase_1513[[#This Row],[SAPSA Number]],#REF!,#REF!)</f>
        <v>#REF!</v>
      </c>
      <c r="I32" s="19" t="s">
        <v>215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0"/>
        <v>8</v>
      </c>
      <c r="B33" s="25">
        <v>4094</v>
      </c>
      <c r="C33" s="25" t="str">
        <f>_xlfn.XLOOKUP(__xlnm._FilterDatabase_1513[[#This Row],[SAPSA Number]],Table1[SAPSA number],Table1[Paid up])</f>
        <v>Y</v>
      </c>
      <c r="D33" s="39" t="str">
        <f>_xlfn.XLOOKUP(__xlnm._FilterDatabase_1513[[#This Row],[SAPSA Number]],Table1[SAPSA number],Table1[Name])</f>
        <v>Johan</v>
      </c>
      <c r="E33" s="39" t="str">
        <f>_xlfn.XLOOKUP(__xlnm._FilterDatabase_1513[[#This Row],[SAPSA Number]],Table1[SAPSA number],Table1[Surname])</f>
        <v>Kemp</v>
      </c>
      <c r="F33" s="28" t="str">
        <f>_xlfn.XLOOKUP(__xlnm._FilterDatabase_1513[[#This Row],[SAPSA Number]],Table1[SAPSA number],Table1[Initials])</f>
        <v>J</v>
      </c>
      <c r="G33" s="17" t="str">
        <f ca="1">_xlfn.XLOOKUP(__xlnm._FilterDatabase_1513[[#This Row],[SAPSA Number]],Table1[SAPSA number],Table1[Gender])</f>
        <v xml:space="preserve"> </v>
      </c>
      <c r="H33" s="19" t="e">
        <f>_xlfn.XLOOKUP(__xlnm._FilterDatabase_1513[[#This Row],[SAPSA Number]],#REF!,#REF!)</f>
        <v>#REF!</v>
      </c>
      <c r="I33" s="19" t="s">
        <v>215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ref="A34:A69" si="3">RANK(K34,K$2:K$135,0)</f>
        <v>8</v>
      </c>
      <c r="B34" s="25">
        <v>6968</v>
      </c>
      <c r="C34" s="25" t="str">
        <f>_xlfn.XLOOKUP(__xlnm._FilterDatabase_1513[[#This Row],[SAPSA Number]],Table1[SAPSA number],Table1[Paid up])</f>
        <v>Y</v>
      </c>
      <c r="D34" s="39" t="str">
        <f>_xlfn.XLOOKUP(__xlnm._FilterDatabase_1513[[#This Row],[SAPSA Number]],Table1[SAPSA number],Table1[Name])</f>
        <v>Ian John</v>
      </c>
      <c r="E34" s="39" t="str">
        <f>_xlfn.XLOOKUP(__xlnm._FilterDatabase_1513[[#This Row],[SAPSA Number]],Table1[SAPSA number],Table1[Surname])</f>
        <v>Kewley</v>
      </c>
      <c r="F34" s="28" t="str">
        <f>_xlfn.XLOOKUP(__xlnm._FilterDatabase_1513[[#This Row],[SAPSA Number]],Table1[SAPSA number],Table1[Initials])</f>
        <v>IJ</v>
      </c>
      <c r="G34" s="17" t="str">
        <f ca="1">_xlfn.XLOOKUP(__xlnm._FilterDatabase_1513[[#This Row],[SAPSA Number]],Table1[SAPSA number],Table1[Gender])</f>
        <v xml:space="preserve"> </v>
      </c>
      <c r="H34" s="19" t="e">
        <f>_xlfn.XLOOKUP(__xlnm._FilterDatabase_1513[[#This Row],[SAPSA Number]],#REF!,#REF!)</f>
        <v>#REF!</v>
      </c>
      <c r="I34" s="19" t="s">
        <v>215</v>
      </c>
      <c r="J34" s="21">
        <f t="shared" ref="J34:J67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3"/>
        <v>8</v>
      </c>
      <c r="B35" s="25">
        <v>252</v>
      </c>
      <c r="C35" s="25" t="str">
        <f>_xlfn.XLOOKUP(__xlnm._FilterDatabase_1513[[#This Row],[SAPSA Number]],Table1[SAPSA number],Table1[Paid up])</f>
        <v>Y</v>
      </c>
      <c r="D35" s="39" t="str">
        <f>_xlfn.XLOOKUP(__xlnm._FilterDatabase_1513[[#This Row],[SAPSA Number]],Table1[SAPSA number],Table1[Name])</f>
        <v>Deon</v>
      </c>
      <c r="E35" s="39" t="str">
        <f>_xlfn.XLOOKUP(__xlnm._FilterDatabase_1513[[#This Row],[SAPSA Number]],Table1[SAPSA number],Table1[Surname])</f>
        <v>Labuschagne</v>
      </c>
      <c r="F35" s="28" t="str">
        <f>_xlfn.XLOOKUP(__xlnm._FilterDatabase_1513[[#This Row],[SAPSA Number]],Table1[SAPSA number],Table1[Initials])</f>
        <v>D</v>
      </c>
      <c r="G35" s="17" t="str">
        <f ca="1">_xlfn.XLOOKUP(__xlnm._FilterDatabase_1513[[#This Row],[SAPSA Number]],Table1[SAPSA number],Table1[Gender])</f>
        <v>GS</v>
      </c>
      <c r="H35" s="19" t="e">
        <f>_xlfn.XLOOKUP(__xlnm._FilterDatabase_1513[[#This Row],[SAPSA Number]],#REF!,#REF!)</f>
        <v>#REF!</v>
      </c>
      <c r="I35" s="19" t="s">
        <v>215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3"/>
        <v>8</v>
      </c>
      <c r="B36" s="25">
        <v>683</v>
      </c>
      <c r="C36" s="25">
        <f>_xlfn.XLOOKUP(__xlnm._FilterDatabase_1513[[#This Row],[SAPSA Number]],Table1[SAPSA number],Table1[Paid up])</f>
        <v>0</v>
      </c>
      <c r="D36" s="39" t="str">
        <f>_xlfn.XLOOKUP(__xlnm._FilterDatabase_1513[[#This Row],[SAPSA Number]],Table1[SAPSA number],Table1[Name])</f>
        <v>Ivor</v>
      </c>
      <c r="E36" s="39" t="str">
        <f>_xlfn.XLOOKUP(__xlnm._FilterDatabase_1513[[#This Row],[SAPSA Number]],Table1[SAPSA number],Table1[Surname])</f>
        <v>Marais</v>
      </c>
      <c r="F36" s="28" t="str">
        <f>_xlfn.XLOOKUP(__xlnm._FilterDatabase_1513[[#This Row],[SAPSA Number]],Table1[SAPSA number],Table1[Initials])</f>
        <v>I</v>
      </c>
      <c r="G36" s="17" t="str">
        <f ca="1">_xlfn.XLOOKUP(__xlnm._FilterDatabase_1513[[#This Row],[SAPSA Number]],Table1[SAPSA number],Table1[Gender])</f>
        <v>S</v>
      </c>
      <c r="H36" s="19" t="e">
        <f>_xlfn.XLOOKUP(__xlnm._FilterDatabase_1513[[#This Row],[SAPSA Number]],#REF!,#REF!)</f>
        <v>#REF!</v>
      </c>
      <c r="I36" s="19" t="s">
        <v>215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8</v>
      </c>
      <c r="B37" s="40">
        <v>4862</v>
      </c>
      <c r="C37" s="25" t="str">
        <f>_xlfn.XLOOKUP(__xlnm._FilterDatabase_1513[[#This Row],[SAPSA Number]],Table1[SAPSA number],Table1[Paid up])</f>
        <v>Y</v>
      </c>
      <c r="D37" s="39" t="str">
        <f>_xlfn.XLOOKUP(__xlnm._FilterDatabase_1513[[#This Row],[SAPSA Number]],Table1[SAPSA number],Table1[Name])</f>
        <v>George Keith</v>
      </c>
      <c r="E37" s="39" t="str">
        <f>_xlfn.XLOOKUP(__xlnm._FilterDatabase_1513[[#This Row],[SAPSA Number]],Table1[SAPSA number],Table1[Surname])</f>
        <v>Marais</v>
      </c>
      <c r="F37" s="28" t="str">
        <f>_xlfn.XLOOKUP(__xlnm._FilterDatabase_1513[[#This Row],[SAPSA Number]],Table1[SAPSA number],Table1[Initials])</f>
        <v>GK</v>
      </c>
      <c r="G37" s="17" t="str">
        <f ca="1">_xlfn.XLOOKUP(__xlnm._FilterDatabase_1513[[#This Row],[SAPSA Number]],Table1[SAPSA number],Table1[Gender])</f>
        <v>S</v>
      </c>
      <c r="H37" s="19" t="e">
        <f>_xlfn.XLOOKUP(__xlnm._FilterDatabase_1513[[#This Row],[SAPSA Number]],#REF!,#REF!)</f>
        <v>#REF!</v>
      </c>
      <c r="I37" s="19" t="s">
        <v>215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8</v>
      </c>
      <c r="B38" s="27">
        <v>6966</v>
      </c>
      <c r="C38" s="101" t="str">
        <f>_xlfn.XLOOKUP(__xlnm._FilterDatabase_1513[[#This Row],[SAPSA Number]],Table1[SAPSA number],Table1[Paid up])</f>
        <v>Y</v>
      </c>
      <c r="D38" s="39" t="str">
        <f>_xlfn.XLOOKUP(__xlnm._FilterDatabase_1513[[#This Row],[SAPSA Number]],Table1[SAPSA number],Table1[Name])</f>
        <v>James</v>
      </c>
      <c r="E38" s="39" t="str">
        <f>_xlfn.XLOOKUP(__xlnm._FilterDatabase_1513[[#This Row],[SAPSA Number]],Table1[SAPSA number],Table1[Surname])</f>
        <v>Masonganye</v>
      </c>
      <c r="F38" s="28" t="str">
        <f>_xlfn.XLOOKUP(__xlnm._FilterDatabase_1513[[#This Row],[SAPSA Number]],Table1[SAPSA number],Table1[Initials])</f>
        <v>J</v>
      </c>
      <c r="G38" s="17" t="str">
        <f ca="1">_xlfn.XLOOKUP(__xlnm._FilterDatabase_1513[[#This Row],[SAPSA Number]],Table1[SAPSA number],Table1[Gender])</f>
        <v>S</v>
      </c>
      <c r="H38" s="19" t="e">
        <f>_xlfn.XLOOKUP(__xlnm._FilterDatabase_1513[[#This Row],[SAPSA Number]],#REF!,#REF!)</f>
        <v>#REF!</v>
      </c>
      <c r="I38" s="19" t="s">
        <v>215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8</v>
      </c>
      <c r="B39" s="26">
        <v>7132</v>
      </c>
      <c r="C39" s="26" t="str">
        <f>_xlfn.XLOOKUP(__xlnm._FilterDatabase_1513[[#This Row],[SAPSA Number]],Table1[SAPSA number],Table1[Paid up])</f>
        <v>Y</v>
      </c>
      <c r="D39" s="39" t="str">
        <f>_xlfn.XLOOKUP(__xlnm._FilterDatabase_1513[[#This Row],[SAPSA Number]],Table1[SAPSA number],Table1[Name])</f>
        <v>Yussuf</v>
      </c>
      <c r="E39" s="39" t="str">
        <f>_xlfn.XLOOKUP(__xlnm._FilterDatabase_1513[[#This Row],[SAPSA Number]],Table1[SAPSA number],Table1[Surname])</f>
        <v>Mayet</v>
      </c>
      <c r="F39" s="28" t="str">
        <f>_xlfn.XLOOKUP(__xlnm._FilterDatabase_1513[[#This Row],[SAPSA Number]],Table1[SAPSA number],Table1[Initials])</f>
        <v>Y</v>
      </c>
      <c r="G39" s="17" t="str">
        <f ca="1">_xlfn.XLOOKUP(__xlnm._FilterDatabase_1513[[#This Row],[SAPSA Number]],Table1[SAPSA number],Table1[Gender])</f>
        <v>GS</v>
      </c>
      <c r="H39" s="19" t="e">
        <f>_xlfn.XLOOKUP(__xlnm._FilterDatabase_1513[[#This Row],[SAPSA Number]],#REF!,#REF!)</f>
        <v>#REF!</v>
      </c>
      <c r="I39" s="19" t="s">
        <v>215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8</v>
      </c>
      <c r="B40" s="26">
        <v>851</v>
      </c>
      <c r="C40" s="26" t="str">
        <f>_xlfn.XLOOKUP(__xlnm._FilterDatabase_1513[[#This Row],[SAPSA Number]],Table1[SAPSA number],Table1[Paid up])</f>
        <v>Y</v>
      </c>
      <c r="D40" s="39" t="str">
        <f>_xlfn.XLOOKUP(__xlnm._FilterDatabase_1513[[#This Row],[SAPSA Number]],Table1[SAPSA number],Table1[Name])</f>
        <v>Ian David</v>
      </c>
      <c r="E40" s="39" t="str">
        <f>_xlfn.XLOOKUP(__xlnm._FilterDatabase_1513[[#This Row],[SAPSA Number]],Table1[SAPSA number],Table1[Surname])</f>
        <v>McLaren</v>
      </c>
      <c r="F40" s="28" t="str">
        <f>_xlfn.XLOOKUP(__xlnm._FilterDatabase_1513[[#This Row],[SAPSA Number]],Table1[SAPSA number],Table1[Initials])</f>
        <v>ID</v>
      </c>
      <c r="G40" s="17" t="str">
        <f ca="1">_xlfn.XLOOKUP(__xlnm._FilterDatabase_1513[[#This Row],[SAPSA Number]],Table1[SAPSA number],Table1[Gender])</f>
        <v>SS</v>
      </c>
      <c r="H40" s="19" t="e">
        <f>_xlfn.XLOOKUP(__xlnm._FilterDatabase_1513[[#This Row],[SAPSA Number]],#REF!,#REF!)</f>
        <v>#REF!</v>
      </c>
      <c r="I40" s="19" t="s">
        <v>215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si="3"/>
        <v>8</v>
      </c>
      <c r="B41" s="40">
        <v>5200</v>
      </c>
      <c r="C41" s="25">
        <f>_xlfn.XLOOKUP(__xlnm._FilterDatabase_1513[[#This Row],[SAPSA Number]],Table1[SAPSA number],Table1[Paid up])</f>
        <v>0</v>
      </c>
      <c r="D41" s="39" t="str">
        <f>_xlfn.XLOOKUP(__xlnm._FilterDatabase_1513[[#This Row],[SAPSA Number]],Table1[SAPSA number],Table1[Name])</f>
        <v>Daniel</v>
      </c>
      <c r="E41" s="39" t="str">
        <f>_xlfn.XLOOKUP(__xlnm._FilterDatabase_1513[[#This Row],[SAPSA Number]],Table1[SAPSA number],Table1[Surname])</f>
        <v>McWilliam</v>
      </c>
      <c r="F41" s="28" t="str">
        <f>_xlfn.XLOOKUP(__xlnm._FilterDatabase_1513[[#This Row],[SAPSA Number]],Table1[SAPSA number],Table1[Initials])</f>
        <v>D</v>
      </c>
      <c r="G41" s="17" t="str">
        <f ca="1">_xlfn.XLOOKUP(__xlnm._FilterDatabase_1513[[#This Row],[SAPSA Number]],Table1[SAPSA number],Table1[Gender])</f>
        <v xml:space="preserve"> </v>
      </c>
      <c r="H41" s="19" t="e">
        <f>_xlfn.XLOOKUP(__xlnm._FilterDatabase_1513[[#This Row],[SAPSA Number]],#REF!,#REF!)</f>
        <v>#REF!</v>
      </c>
      <c r="I41" s="19" t="s">
        <v>215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 t="shared" si="3"/>
        <v>8</v>
      </c>
      <c r="B42" s="25">
        <v>1771</v>
      </c>
      <c r="C42" s="25" t="str">
        <f>_xlfn.XLOOKUP(__xlnm._FilterDatabase_1513[[#This Row],[SAPSA Number]],Table1[SAPSA number],Table1[Paid up])</f>
        <v>Y</v>
      </c>
      <c r="D42" s="39" t="str">
        <f>_xlfn.XLOOKUP(__xlnm._FilterDatabase_1513[[#This Row],[SAPSA Number]],Table1[SAPSA number],Table1[Name])</f>
        <v>Rodney Ralph</v>
      </c>
      <c r="E42" s="39" t="str">
        <f>_xlfn.XLOOKUP(__xlnm._FilterDatabase_1513[[#This Row],[SAPSA Number]],Table1[SAPSA number],Table1[Surname])</f>
        <v>Mills</v>
      </c>
      <c r="F42" s="28" t="str">
        <f>_xlfn.XLOOKUP(__xlnm._FilterDatabase_1513[[#This Row],[SAPSA Number]],Table1[SAPSA number],Table1[Initials])</f>
        <v>RR</v>
      </c>
      <c r="G42" s="17" t="str">
        <f ca="1">_xlfn.XLOOKUP(__xlnm._FilterDatabase_1513[[#This Row],[SAPSA Number]],Table1[SAPSA number],Table1[Gender])</f>
        <v>GS</v>
      </c>
      <c r="H42" s="19" t="e">
        <f>_xlfn.XLOOKUP(__xlnm._FilterDatabase_1513[[#This Row],[SAPSA Number]],#REF!,#REF!)</f>
        <v>#REF!</v>
      </c>
      <c r="I42" s="19" t="s">
        <v>215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3"/>
        <v>8</v>
      </c>
      <c r="B43" s="25">
        <v>1637</v>
      </c>
      <c r="C43" s="25">
        <f>_xlfn.XLOOKUP(__xlnm._FilterDatabase_1513[[#This Row],[SAPSA Number]],Table1[SAPSA number],Table1[Paid up])</f>
        <v>0</v>
      </c>
      <c r="D43" s="39" t="str">
        <f>_xlfn.XLOOKUP(__xlnm._FilterDatabase_1513[[#This Row],[SAPSA Number]],Table1[SAPSA number],Table1[Name])</f>
        <v>Andre Johann Pieter</v>
      </c>
      <c r="E43" s="39" t="str">
        <f>_xlfn.XLOOKUP(__xlnm._FilterDatabase_1513[[#This Row],[SAPSA Number]],Table1[SAPSA number],Table1[Surname])</f>
        <v>Mouton</v>
      </c>
      <c r="F43" s="28" t="str">
        <f>_xlfn.XLOOKUP(__xlnm._FilterDatabase_1513[[#This Row],[SAPSA Number]],Table1[SAPSA number],Table1[Initials])</f>
        <v>AJP</v>
      </c>
      <c r="G43" s="17" t="str">
        <f ca="1">_xlfn.XLOOKUP(__xlnm._FilterDatabase_1513[[#This Row],[SAPSA Number]],Table1[SAPSA number],Table1[Gender])</f>
        <v>GS</v>
      </c>
      <c r="H43" s="19" t="e">
        <f>_xlfn.XLOOKUP(__xlnm._FilterDatabase_1513[[#This Row],[SAPSA Number]],#REF!,#REF!)</f>
        <v>#REF!</v>
      </c>
      <c r="I43" s="19" t="s">
        <v>215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3"/>
        <v>8</v>
      </c>
      <c r="B44" s="40">
        <v>1777</v>
      </c>
      <c r="C44" s="25" t="str">
        <f>_xlfn.XLOOKUP(__xlnm._FilterDatabase_1513[[#This Row],[SAPSA Number]],Table1[SAPSA number],Table1[Paid up])</f>
        <v>Y</v>
      </c>
      <c r="D44" s="39" t="str">
        <f>_xlfn.XLOOKUP(__xlnm._FilterDatabase_1513[[#This Row],[SAPSA Number]],Table1[SAPSA number],Table1[Name])</f>
        <v xml:space="preserve">Leon </v>
      </c>
      <c r="E44" s="39" t="str">
        <f>_xlfn.XLOOKUP(__xlnm._FilterDatabase_1513[[#This Row],[SAPSA Number]],Table1[SAPSA number],Table1[Surname])</f>
        <v>Myburgh</v>
      </c>
      <c r="F44" s="28" t="str">
        <f>_xlfn.XLOOKUP(__xlnm._FilterDatabase_1513[[#This Row],[SAPSA Number]],Table1[SAPSA number],Table1[Initials])</f>
        <v>LC</v>
      </c>
      <c r="G44" s="17" t="str">
        <f ca="1">_xlfn.XLOOKUP(__xlnm._FilterDatabase_1513[[#This Row],[SAPSA Number]],Table1[SAPSA number],Table1[Gender])</f>
        <v>S</v>
      </c>
      <c r="H44" s="19" t="e">
        <f>_xlfn.XLOOKUP(__xlnm._FilterDatabase_1513[[#This Row],[SAPSA Number]],#REF!,#REF!)</f>
        <v>#REF!</v>
      </c>
      <c r="I44" s="19" t="s">
        <v>215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25" customHeight="1" x14ac:dyDescent="0.3">
      <c r="A45" s="17">
        <f t="shared" si="3"/>
        <v>8</v>
      </c>
      <c r="B45" s="25">
        <v>5804</v>
      </c>
      <c r="C45" s="25" t="str">
        <f>_xlfn.XLOOKUP(__xlnm._FilterDatabase_1513[[#This Row],[SAPSA Number]],Table1[SAPSA number],Table1[Paid up])</f>
        <v>Y</v>
      </c>
      <c r="D45" s="39" t="str">
        <f>_xlfn.XLOOKUP(__xlnm._FilterDatabase_1513[[#This Row],[SAPSA Number]],Table1[SAPSA number],Table1[Name])</f>
        <v>Louis Johannes</v>
      </c>
      <c r="E45" s="39" t="str">
        <f>_xlfn.XLOOKUP(__xlnm._FilterDatabase_1513[[#This Row],[SAPSA Number]],Table1[SAPSA number],Table1[Surname])</f>
        <v>Nel</v>
      </c>
      <c r="F45" s="28" t="str">
        <f>_xlfn.XLOOKUP(__xlnm._FilterDatabase_1513[[#This Row],[SAPSA Number]],Table1[SAPSA number],Table1[Initials])</f>
        <v>LJ</v>
      </c>
      <c r="G45" s="17" t="str">
        <f ca="1">_xlfn.XLOOKUP(__xlnm._FilterDatabase_1513[[#This Row],[SAPSA Number]],Table1[SAPSA number],Table1[Gender])</f>
        <v xml:space="preserve"> </v>
      </c>
      <c r="H45" s="19" t="e">
        <f>_xlfn.XLOOKUP(__xlnm._FilterDatabase_1513[[#This Row],[SAPSA Number]],#REF!,#REF!)</f>
        <v>#REF!</v>
      </c>
      <c r="I45" s="19" t="s">
        <v>215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3"/>
        <v>8</v>
      </c>
      <c r="B46" s="25">
        <v>250</v>
      </c>
      <c r="C46" s="25">
        <f>_xlfn.XLOOKUP(__xlnm._FilterDatabase_1513[[#This Row],[SAPSA Number]],Table1[SAPSA number],Table1[Paid up])</f>
        <v>0</v>
      </c>
      <c r="D46" s="39" t="str">
        <f>_xlfn.XLOOKUP(__xlnm._FilterDatabase_1513[[#This Row],[SAPSA Number]],Table1[SAPSA number],Table1[Name])</f>
        <v>Adriano Walter</v>
      </c>
      <c r="E46" s="39" t="str">
        <f>_xlfn.XLOOKUP(__xlnm._FilterDatabase_1513[[#This Row],[SAPSA Number]],Table1[SAPSA number],Table1[Surname])</f>
        <v>Paschini</v>
      </c>
      <c r="F46" s="28" t="str">
        <f>_xlfn.XLOOKUP(__xlnm._FilterDatabase_1513[[#This Row],[SAPSA Number]],Table1[SAPSA number],Table1[Initials])</f>
        <v>AW</v>
      </c>
      <c r="G46" s="17" t="str">
        <f ca="1">_xlfn.XLOOKUP(__xlnm._FilterDatabase_1513[[#This Row],[SAPSA Number]],Table1[SAPSA number],Table1[Gender])</f>
        <v>SS</v>
      </c>
      <c r="H46" s="19" t="e">
        <f>_xlfn.XLOOKUP(__xlnm._FilterDatabase_1513[[#This Row],[SAPSA Number]],#REF!,#REF!)</f>
        <v>#REF!</v>
      </c>
      <c r="I46" s="19" t="s">
        <v>215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3"/>
        <v>8</v>
      </c>
      <c r="B47" s="25">
        <v>6633</v>
      </c>
      <c r="C47" s="25">
        <f>_xlfn.XLOOKUP(__xlnm._FilterDatabase_1513[[#This Row],[SAPSA Number]],Table1[SAPSA number],Table1[Paid up])</f>
        <v>0</v>
      </c>
      <c r="D47" s="39" t="str">
        <f>_xlfn.XLOOKUP(__xlnm._FilterDatabase_1513[[#This Row],[SAPSA Number]],Table1[SAPSA number],Table1[Name])</f>
        <v>Allessandro Raffaele</v>
      </c>
      <c r="E47" s="39" t="str">
        <f>_xlfn.XLOOKUP(__xlnm._FilterDatabase_1513[[#This Row],[SAPSA Number]],Table1[SAPSA number],Table1[Surname])</f>
        <v>Paschini</v>
      </c>
      <c r="F47" s="28" t="str">
        <f>_xlfn.XLOOKUP(__xlnm._FilterDatabase_1513[[#This Row],[SAPSA Number]],Table1[SAPSA number],Table1[Initials])</f>
        <v>AR</v>
      </c>
      <c r="G47" s="17" t="str">
        <f ca="1">_xlfn.XLOOKUP(__xlnm._FilterDatabase_1513[[#This Row],[SAPSA Number]],Table1[SAPSA number],Table1[Gender])</f>
        <v xml:space="preserve"> </v>
      </c>
      <c r="H47" s="19" t="e">
        <f>_xlfn.XLOOKUP(__xlnm._FilterDatabase_1513[[#This Row],[SAPSA Number]],#REF!,#REF!)</f>
        <v>#REF!</v>
      </c>
      <c r="I47" s="19" t="s">
        <v>215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 t="shared" si="3"/>
        <v>8</v>
      </c>
      <c r="B48" s="25">
        <v>7478</v>
      </c>
      <c r="C48" s="25">
        <f>_xlfn.XLOOKUP(__xlnm._FilterDatabase_1513[[#This Row],[SAPSA Number]],Table1[SAPSA number],Table1[Paid up])</f>
        <v>0</v>
      </c>
      <c r="D48" s="39" t="str">
        <f>_xlfn.XLOOKUP(__xlnm._FilterDatabase_1513[[#This Row],[SAPSA Number]],Table1[SAPSA number],Table1[Name])</f>
        <v>Annemarie</v>
      </c>
      <c r="E48" s="39" t="str">
        <f>_xlfn.XLOOKUP(__xlnm._FilterDatabase_1513[[#This Row],[SAPSA Number]],Table1[SAPSA number],Table1[Surname])</f>
        <v>Pienaar</v>
      </c>
      <c r="F48" s="28" t="str">
        <f>_xlfn.XLOOKUP(__xlnm._FilterDatabase_1513[[#This Row],[SAPSA Number]],Table1[SAPSA number],Table1[Initials])</f>
        <v>A</v>
      </c>
      <c r="G48" s="17" t="str">
        <f>_xlfn.XLOOKUP(__xlnm._FilterDatabase_1513[[#This Row],[SAPSA Number]],Table1[SAPSA number],Table1[Gender])</f>
        <v>Lady</v>
      </c>
      <c r="H48" s="19" t="e">
        <f>_xlfn.XLOOKUP(__xlnm._FilterDatabase_1513[[#This Row],[SAPSA Number]],#REF!,#REF!)</f>
        <v>#REF!</v>
      </c>
      <c r="I48" s="19" t="s">
        <v>215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3"/>
        <v>8</v>
      </c>
      <c r="B49" s="25">
        <v>2950</v>
      </c>
      <c r="C49" s="25">
        <f>_xlfn.XLOOKUP(__xlnm._FilterDatabase_1513[[#This Row],[SAPSA Number]],Table1[SAPSA number],Table1[Paid up])</f>
        <v>0</v>
      </c>
      <c r="D49" s="39" t="str">
        <f>_xlfn.XLOOKUP(__xlnm._FilterDatabase_1513[[#This Row],[SAPSA Number]],Table1[SAPSA number],Table1[Name])</f>
        <v>Renier Jansen</v>
      </c>
      <c r="E49" s="39" t="str">
        <f>_xlfn.XLOOKUP(__xlnm._FilterDatabase_1513[[#This Row],[SAPSA Number]],Table1[SAPSA number],Table1[Surname])</f>
        <v>Reynders</v>
      </c>
      <c r="F49" s="28" t="str">
        <f>_xlfn.XLOOKUP(__xlnm._FilterDatabase_1513[[#This Row],[SAPSA Number]],Table1[SAPSA number],Table1[Initials])</f>
        <v>RJ</v>
      </c>
      <c r="G49" s="17" t="str">
        <f ca="1">_xlfn.XLOOKUP(__xlnm._FilterDatabase_1513[[#This Row],[SAPSA Number]],Table1[SAPSA number],Table1[Gender])</f>
        <v xml:space="preserve"> </v>
      </c>
      <c r="H49" s="19" t="e">
        <f>_xlfn.XLOOKUP(__xlnm._FilterDatabase_1513[[#This Row],[SAPSA Number]],#REF!,#REF!)</f>
        <v>#REF!</v>
      </c>
      <c r="I49" s="19" t="s">
        <v>215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3"/>
        <v>8</v>
      </c>
      <c r="B50" s="25">
        <v>1929</v>
      </c>
      <c r="C50" s="25">
        <f>_xlfn.XLOOKUP(__xlnm._FilterDatabase_1513[[#This Row],[SAPSA Number]],Table1[SAPSA number],Table1[Paid up])</f>
        <v>0</v>
      </c>
      <c r="D50" s="39" t="str">
        <f>_xlfn.XLOOKUP(__xlnm._FilterDatabase_1513[[#This Row],[SAPSA Number]],Table1[SAPSA number],Table1[Name])</f>
        <v>Chris</v>
      </c>
      <c r="E50" s="39" t="str">
        <f>_xlfn.XLOOKUP(__xlnm._FilterDatabase_1513[[#This Row],[SAPSA Number]],Table1[SAPSA number],Table1[Surname])</f>
        <v>Ridout</v>
      </c>
      <c r="F50" s="28" t="str">
        <f>_xlfn.XLOOKUP(__xlnm._FilterDatabase_1513[[#This Row],[SAPSA Number]],Table1[SAPSA number],Table1[Initials])</f>
        <v>CJ</v>
      </c>
      <c r="G50" s="17" t="str">
        <f ca="1">_xlfn.XLOOKUP(__xlnm._FilterDatabase_1513[[#This Row],[SAPSA Number]],Table1[SAPSA number],Table1[Gender])</f>
        <v xml:space="preserve"> </v>
      </c>
      <c r="H50" s="19" t="e">
        <f>_xlfn.XLOOKUP(__xlnm._FilterDatabase_1513[[#This Row],[SAPSA Number]],#REF!,#REF!)</f>
        <v>#REF!</v>
      </c>
      <c r="I50" s="19" t="s">
        <v>215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3"/>
        <v>8</v>
      </c>
      <c r="B51" s="25">
        <v>4966</v>
      </c>
      <c r="C51" s="25" t="str">
        <f>_xlfn.XLOOKUP(__xlnm._FilterDatabase_1513[[#This Row],[SAPSA Number]],Table1[SAPSA number],Table1[Paid up])</f>
        <v>Y</v>
      </c>
      <c r="D51" s="39" t="str">
        <f>_xlfn.XLOOKUP(__xlnm._FilterDatabase_1513[[#This Row],[SAPSA Number]],Table1[SAPSA number],Table1[Name])</f>
        <v>Costantinos</v>
      </c>
      <c r="E51" s="39" t="str">
        <f>_xlfn.XLOOKUP(__xlnm._FilterDatabase_1513[[#This Row],[SAPSA Number]],Table1[SAPSA number],Table1[Surname])</f>
        <v>Seindis</v>
      </c>
      <c r="F51" s="28" t="str">
        <f>_xlfn.XLOOKUP(__xlnm._FilterDatabase_1513[[#This Row],[SAPSA Number]],Table1[SAPSA number],Table1[Initials])</f>
        <v>C</v>
      </c>
      <c r="G51" s="17" t="str">
        <f ca="1">_xlfn.XLOOKUP(__xlnm._FilterDatabase_1513[[#This Row],[SAPSA Number]],Table1[SAPSA number],Table1[Gender])</f>
        <v xml:space="preserve"> </v>
      </c>
      <c r="H51" s="19" t="e">
        <f>_xlfn.XLOOKUP(__xlnm._FilterDatabase_1513[[#This Row],[SAPSA Number]],#REF!,#REF!)</f>
        <v>#REF!</v>
      </c>
      <c r="I51" s="19" t="s">
        <v>215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3"/>
        <v>8</v>
      </c>
      <c r="B52" s="25">
        <v>572</v>
      </c>
      <c r="C52" s="25" t="str">
        <f>_xlfn.XLOOKUP(__xlnm._FilterDatabase_1513[[#This Row],[SAPSA Number]],Table1[SAPSA number],Table1[Paid up])</f>
        <v>Y</v>
      </c>
      <c r="D52" s="39" t="str">
        <f>_xlfn.XLOOKUP(__xlnm._FilterDatabase_1513[[#This Row],[SAPSA Number]],Table1[SAPSA number],Table1[Name])</f>
        <v>DJ</v>
      </c>
      <c r="E52" s="39" t="str">
        <f>_xlfn.XLOOKUP(__xlnm._FilterDatabase_1513[[#This Row],[SAPSA Number]],Table1[SAPSA number],Table1[Surname])</f>
        <v>Smith</v>
      </c>
      <c r="F52" s="28" t="str">
        <f>_xlfn.XLOOKUP(__xlnm._FilterDatabase_1513[[#This Row],[SAPSA Number]],Table1[SAPSA number],Table1[Initials])</f>
        <v>DJ</v>
      </c>
      <c r="G52" s="17" t="str">
        <f ca="1">_xlfn.XLOOKUP(__xlnm._FilterDatabase_1513[[#This Row],[SAPSA Number]],Table1[SAPSA number],Table1[Gender])</f>
        <v>SS</v>
      </c>
      <c r="H52" s="19" t="e">
        <f>_xlfn.XLOOKUP(__xlnm._FilterDatabase_1513[[#This Row],[SAPSA Number]],#REF!,#REF!)</f>
        <v>#REF!</v>
      </c>
      <c r="I52" s="19" t="s">
        <v>215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3"/>
        <v>8</v>
      </c>
      <c r="B53" s="25">
        <v>1321</v>
      </c>
      <c r="C53" s="25">
        <f>_xlfn.XLOOKUP(__xlnm._FilterDatabase_1513[[#This Row],[SAPSA Number]],Table1[SAPSA number],Table1[Paid up])</f>
        <v>0</v>
      </c>
      <c r="D53" s="39" t="str">
        <f>_xlfn.XLOOKUP(__xlnm._FilterDatabase_1513[[#This Row],[SAPSA Number]],Table1[SAPSA number],Table1[Name])</f>
        <v>Neal Monisen</v>
      </c>
      <c r="E53" s="39" t="str">
        <f>_xlfn.XLOOKUP(__xlnm._FilterDatabase_1513[[#This Row],[SAPSA Number]],Table1[SAPSA number],Table1[Surname])</f>
        <v>Sokay</v>
      </c>
      <c r="F53" s="28" t="str">
        <f>_xlfn.XLOOKUP(__xlnm._FilterDatabase_1513[[#This Row],[SAPSA Number]],Table1[SAPSA number],Table1[Initials])</f>
        <v>NM</v>
      </c>
      <c r="G53" s="17" t="str">
        <f ca="1">_xlfn.XLOOKUP(__xlnm._FilterDatabase_1513[[#This Row],[SAPSA Number]],Table1[SAPSA number],Table1[Gender])</f>
        <v>S</v>
      </c>
      <c r="H53" s="19" t="e">
        <f>_xlfn.XLOOKUP(__xlnm._FilterDatabase_1513[[#This Row],[SAPSA Number]],#REF!,#REF!)</f>
        <v>#REF!</v>
      </c>
      <c r="I53" s="19" t="s">
        <v>215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3"/>
        <v>8</v>
      </c>
      <c r="B54" s="25">
        <v>3832</v>
      </c>
      <c r="C54" s="25" t="str">
        <f>_xlfn.XLOOKUP(__xlnm._FilterDatabase_1513[[#This Row],[SAPSA Number]],Table1[SAPSA number],Table1[Paid up])</f>
        <v>Y</v>
      </c>
      <c r="D54" s="39" t="str">
        <f>_xlfn.XLOOKUP(__xlnm._FilterDatabase_1513[[#This Row],[SAPSA Number]],Table1[SAPSA number],Table1[Name])</f>
        <v>Dion Rowlands</v>
      </c>
      <c r="E54" s="39" t="str">
        <f>_xlfn.XLOOKUP(__xlnm._FilterDatabase_1513[[#This Row],[SAPSA Number]],Table1[SAPSA number],Table1[Surname])</f>
        <v>Stead</v>
      </c>
      <c r="F54" s="28" t="str">
        <f>_xlfn.XLOOKUP(__xlnm._FilterDatabase_1513[[#This Row],[SAPSA Number]],Table1[SAPSA number],Table1[Initials])</f>
        <v>DR</v>
      </c>
      <c r="G54" s="17" t="str">
        <f ca="1">_xlfn.XLOOKUP(__xlnm._FilterDatabase_1513[[#This Row],[SAPSA Number]],Table1[SAPSA number],Table1[Gender])</f>
        <v>S</v>
      </c>
      <c r="H54" s="19" t="e">
        <f>_xlfn.XLOOKUP(__xlnm._FilterDatabase_1513[[#This Row],[SAPSA Number]],#REF!,#REF!)</f>
        <v>#REF!</v>
      </c>
      <c r="I54" s="19" t="s">
        <v>215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3"/>
        <v>8</v>
      </c>
      <c r="B55" s="25">
        <v>4858</v>
      </c>
      <c r="C55" s="25" t="str">
        <f>_xlfn.XLOOKUP(__xlnm._FilterDatabase_1513[[#This Row],[SAPSA Number]],Table1[SAPSA number],Table1[Paid up])</f>
        <v>Y</v>
      </c>
      <c r="D55" s="39" t="str">
        <f>_xlfn.XLOOKUP(__xlnm._FilterDatabase_1513[[#This Row],[SAPSA Number]],Table1[SAPSA number],Table1[Name])</f>
        <v>Jacques</v>
      </c>
      <c r="E55" s="39" t="str">
        <f>_xlfn.XLOOKUP(__xlnm._FilterDatabase_1513[[#This Row],[SAPSA Number]],Table1[SAPSA number],Table1[Surname])</f>
        <v>Swanepoel</v>
      </c>
      <c r="F55" s="28" t="str">
        <f>_xlfn.XLOOKUP(__xlnm._FilterDatabase_1513[[#This Row],[SAPSA Number]],Table1[SAPSA number],Table1[Initials])</f>
        <v>J</v>
      </c>
      <c r="G55" s="17" t="str">
        <f ca="1">_xlfn.XLOOKUP(__xlnm._FilterDatabase_1513[[#This Row],[SAPSA Number]],Table1[SAPSA number],Table1[Gender])</f>
        <v xml:space="preserve"> </v>
      </c>
      <c r="H55" s="19" t="e">
        <f>_xlfn.XLOOKUP(__xlnm._FilterDatabase_1513[[#This Row],[SAPSA Number]],#REF!,#REF!)</f>
        <v>#REF!</v>
      </c>
      <c r="I55" s="19" t="s">
        <v>215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3"/>
        <v>8</v>
      </c>
      <c r="B56" s="25">
        <v>1113</v>
      </c>
      <c r="C56" s="25" t="str">
        <f>_xlfn.XLOOKUP(__xlnm._FilterDatabase_1513[[#This Row],[SAPSA Number]],Table1[SAPSA number],Table1[Paid up])</f>
        <v>Y</v>
      </c>
      <c r="D56" s="39" t="str">
        <f>_xlfn.XLOOKUP(__xlnm._FilterDatabase_1513[[#This Row],[SAPSA Number]],Table1[SAPSA number],Table1[Name])</f>
        <v>Frik</v>
      </c>
      <c r="E56" s="39" t="str">
        <f>_xlfn.XLOOKUP(__xlnm._FilterDatabase_1513[[#This Row],[SAPSA Number]],Table1[SAPSA number],Table1[Surname])</f>
        <v>Truter</v>
      </c>
      <c r="F56" s="28" t="str">
        <f>_xlfn.XLOOKUP(__xlnm._FilterDatabase_1513[[#This Row],[SAPSA Number]],Table1[SAPSA number],Table1[Initials])</f>
        <v>FC</v>
      </c>
      <c r="G56" s="17" t="str">
        <f ca="1">_xlfn.XLOOKUP(__xlnm._FilterDatabase_1513[[#This Row],[SAPSA Number]],Table1[SAPSA number],Table1[Gender])</f>
        <v>SS</v>
      </c>
      <c r="H56" s="19" t="e">
        <f>_xlfn.XLOOKUP(__xlnm._FilterDatabase_1513[[#This Row],[SAPSA Number]],#REF!,#REF!)</f>
        <v>#REF!</v>
      </c>
      <c r="I56" s="19" t="s">
        <v>215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3"/>
        <v>8</v>
      </c>
      <c r="B57" s="25">
        <v>4672</v>
      </c>
      <c r="C57" s="25" t="str">
        <f>_xlfn.XLOOKUP(__xlnm._FilterDatabase_1513[[#This Row],[SAPSA Number]],Table1[SAPSA number],Table1[Paid up])</f>
        <v>Y</v>
      </c>
      <c r="D57" s="39" t="str">
        <f>_xlfn.XLOOKUP(__xlnm._FilterDatabase_1513[[#This Row],[SAPSA Number]],Table1[SAPSA number],Table1[Name])</f>
        <v>Frederick John</v>
      </c>
      <c r="E57" s="39" t="str">
        <f>_xlfn.XLOOKUP(__xlnm._FilterDatabase_1513[[#This Row],[SAPSA Number]],Table1[SAPSA number],Table1[Surname])</f>
        <v>Turnbull</v>
      </c>
      <c r="F57" s="28" t="str">
        <f>_xlfn.XLOOKUP(__xlnm._FilterDatabase_1513[[#This Row],[SAPSA Number]],Table1[SAPSA number],Table1[Initials])</f>
        <v>FJ</v>
      </c>
      <c r="G57" s="17" t="str">
        <f ca="1">_xlfn.XLOOKUP(__xlnm._FilterDatabase_1513[[#This Row],[SAPSA Number]],Table1[SAPSA number],Table1[Gender])</f>
        <v>SS</v>
      </c>
      <c r="H57" s="19" t="e">
        <f>_xlfn.XLOOKUP(__xlnm._FilterDatabase_1513[[#This Row],[SAPSA Number]],#REF!,#REF!)</f>
        <v>#REF!</v>
      </c>
      <c r="I57" s="19" t="s">
        <v>215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3"/>
        <v>8</v>
      </c>
      <c r="B58" s="25">
        <v>1931</v>
      </c>
      <c r="C58" s="25">
        <f>_xlfn.XLOOKUP(__xlnm._FilterDatabase_1513[[#This Row],[SAPSA Number]],Table1[SAPSA number],Table1[Paid up])</f>
        <v>0</v>
      </c>
      <c r="D58" s="39" t="str">
        <f>_xlfn.XLOOKUP(__xlnm._FilterDatabase_1513[[#This Row],[SAPSA Number]],Table1[SAPSA number],Table1[Name])</f>
        <v>Sylvia</v>
      </c>
      <c r="E58" s="39" t="str">
        <f>_xlfn.XLOOKUP(__xlnm._FilterDatabase_1513[[#This Row],[SAPSA Number]],Table1[SAPSA number],Table1[Surname])</f>
        <v>Van der Neut</v>
      </c>
      <c r="F58" s="28" t="str">
        <f>_xlfn.XLOOKUP(__xlnm._FilterDatabase_1513[[#This Row],[SAPSA Number]],Table1[SAPSA number],Table1[Initials])</f>
        <v>S</v>
      </c>
      <c r="G58" s="17" t="str">
        <f>_xlfn.XLOOKUP(__xlnm._FilterDatabase_1513[[#This Row],[SAPSA Number]],Table1[SAPSA number],Table1[Gender])</f>
        <v>Lady</v>
      </c>
      <c r="H58" s="19" t="e">
        <f>_xlfn.XLOOKUP(__xlnm._FilterDatabase_1513[[#This Row],[SAPSA Number]],#REF!,#REF!)</f>
        <v>#REF!</v>
      </c>
      <c r="I58" s="19" t="s">
        <v>215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3"/>
        <v>8</v>
      </c>
      <c r="B59" s="25">
        <v>5616</v>
      </c>
      <c r="C59" s="25">
        <f>_xlfn.XLOOKUP(__xlnm._FilterDatabase_1513[[#This Row],[SAPSA Number]],Table1[SAPSA number],Table1[Paid up])</f>
        <v>0</v>
      </c>
      <c r="D59" s="39" t="str">
        <f>_xlfn.XLOOKUP(__xlnm._FilterDatabase_1513[[#This Row],[SAPSA Number]],Table1[SAPSA number],Table1[Name])</f>
        <v>Cornelis Herman</v>
      </c>
      <c r="E59" s="39" t="str">
        <f>_xlfn.XLOOKUP(__xlnm._FilterDatabase_1513[[#This Row],[SAPSA Number]],Table1[SAPSA number],Table1[Surname])</f>
        <v>van Driel</v>
      </c>
      <c r="F59" s="28" t="str">
        <f>_xlfn.XLOOKUP(__xlnm._FilterDatabase_1513[[#This Row],[SAPSA Number]],Table1[SAPSA number],Table1[Initials])</f>
        <v>CH</v>
      </c>
      <c r="G59" s="17" t="str">
        <f ca="1">_xlfn.XLOOKUP(__xlnm._FilterDatabase_1513[[#This Row],[SAPSA Number]],Table1[SAPSA number],Table1[Gender])</f>
        <v xml:space="preserve"> </v>
      </c>
      <c r="H59" s="19" t="e">
        <f>_xlfn.XLOOKUP(__xlnm._FilterDatabase_1513[[#This Row],[SAPSA Number]],#REF!,#REF!)</f>
        <v>#REF!</v>
      </c>
      <c r="I59" s="19" t="s">
        <v>215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3"/>
        <v>8</v>
      </c>
      <c r="B60" s="40">
        <v>6564</v>
      </c>
      <c r="C60" s="25" t="str">
        <f>_xlfn.XLOOKUP(__xlnm._FilterDatabase_1513[[#This Row],[SAPSA Number]],Table1[SAPSA number],Table1[Paid up])</f>
        <v>Y</v>
      </c>
      <c r="D60" s="39" t="str">
        <f>_xlfn.XLOOKUP(__xlnm._FilterDatabase_1513[[#This Row],[SAPSA Number]],Table1[SAPSA number],Table1[Name])</f>
        <v>Kwimton Schalk</v>
      </c>
      <c r="E60" s="39" t="str">
        <f>_xlfn.XLOOKUP(__xlnm._FilterDatabase_1513[[#This Row],[SAPSA Number]],Table1[SAPSA number],Table1[Surname])</f>
        <v>van Jaarsveld</v>
      </c>
      <c r="F60" s="28" t="str">
        <f>_xlfn.XLOOKUP(__xlnm._FilterDatabase_1513[[#This Row],[SAPSA Number]],Table1[SAPSA number],Table1[Initials])</f>
        <v>KS</v>
      </c>
      <c r="G60" s="17" t="str">
        <f ca="1">_xlfn.XLOOKUP(__xlnm._FilterDatabase_1513[[#This Row],[SAPSA Number]],Table1[SAPSA number],Table1[Gender])</f>
        <v xml:space="preserve"> </v>
      </c>
      <c r="H60" s="19" t="e">
        <f>_xlfn.XLOOKUP(__xlnm._FilterDatabase_1513[[#This Row],[SAPSA Number]],#REF!,#REF!)</f>
        <v>#REF!</v>
      </c>
      <c r="I60" s="19" t="s">
        <v>215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3"/>
        <v>8</v>
      </c>
      <c r="B61" s="26">
        <v>5971</v>
      </c>
      <c r="C61" s="25">
        <f>_xlfn.XLOOKUP(__xlnm._FilterDatabase_1513[[#This Row],[SAPSA Number]],Table1[SAPSA number],Table1[Paid up])</f>
        <v>0</v>
      </c>
      <c r="D61" s="39" t="str">
        <f>_xlfn.XLOOKUP(__xlnm._FilterDatabase_1513[[#This Row],[SAPSA Number]],Table1[SAPSA number],Table1[Name])</f>
        <v>Hendrik</v>
      </c>
      <c r="E61" s="39" t="str">
        <f>_xlfn.XLOOKUP(__xlnm._FilterDatabase_1513[[#This Row],[SAPSA Number]],Table1[SAPSA number],Table1[Surname])</f>
        <v>van Rooyen</v>
      </c>
      <c r="F61" s="28" t="str">
        <f>_xlfn.XLOOKUP(__xlnm._FilterDatabase_1513[[#This Row],[SAPSA Number]],Table1[SAPSA number],Table1[Initials])</f>
        <v>H</v>
      </c>
      <c r="G61" s="17" t="str">
        <f ca="1">_xlfn.XLOOKUP(__xlnm._FilterDatabase_1513[[#This Row],[SAPSA Number]],Table1[SAPSA number],Table1[Gender])</f>
        <v>S</v>
      </c>
      <c r="H61" s="19" t="e">
        <f>_xlfn.XLOOKUP(__xlnm._FilterDatabase_1513[[#This Row],[SAPSA Number]],#REF!,#REF!)</f>
        <v>#REF!</v>
      </c>
      <c r="I61" s="19" t="s">
        <v>215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3"/>
        <v>8</v>
      </c>
      <c r="B62" s="26">
        <v>2051</v>
      </c>
      <c r="C62" s="25" t="str">
        <f>_xlfn.XLOOKUP(__xlnm._FilterDatabase_1513[[#This Row],[SAPSA Number]],Table1[SAPSA number],Table1[Paid up])</f>
        <v>Y</v>
      </c>
      <c r="D62" s="39" t="str">
        <f>_xlfn.XLOOKUP(__xlnm._FilterDatabase_1513[[#This Row],[SAPSA Number]],Table1[SAPSA number],Table1[Name])</f>
        <v>Simon Adriaan</v>
      </c>
      <c r="E62" s="39" t="str">
        <f>_xlfn.XLOOKUP(__xlnm._FilterDatabase_1513[[#This Row],[SAPSA Number]],Table1[SAPSA number],Table1[Surname])</f>
        <v>Vermooten</v>
      </c>
      <c r="F62" s="28" t="str">
        <f>_xlfn.XLOOKUP(__xlnm._FilterDatabase_1513[[#This Row],[SAPSA Number]],Table1[SAPSA number],Table1[Initials])</f>
        <v>SA</v>
      </c>
      <c r="G62" s="17" t="str">
        <f ca="1">_xlfn.XLOOKUP(__xlnm._FilterDatabase_1513[[#This Row],[SAPSA Number]],Table1[SAPSA number],Table1[Gender])</f>
        <v>GS</v>
      </c>
      <c r="H62" s="19" t="e">
        <f>_xlfn.XLOOKUP(__xlnm._FilterDatabase_1513[[#This Row],[SAPSA Number]],#REF!,#REF!)</f>
        <v>#REF!</v>
      </c>
      <c r="I62" s="19" t="s">
        <v>215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3"/>
        <v>8</v>
      </c>
      <c r="B63" s="26">
        <v>2089</v>
      </c>
      <c r="C63" s="25" t="str">
        <f>_xlfn.XLOOKUP(__xlnm._FilterDatabase_1513[[#This Row],[SAPSA Number]],Table1[SAPSA number],Table1[Paid up])</f>
        <v>Y</v>
      </c>
      <c r="D63" s="39" t="str">
        <f>_xlfn.XLOOKUP(__xlnm._FilterDatabase_1513[[#This Row],[SAPSA Number]],Table1[SAPSA number],Table1[Name])</f>
        <v>Doané</v>
      </c>
      <c r="E63" s="39" t="str">
        <f>_xlfn.XLOOKUP(__xlnm._FilterDatabase_1513[[#This Row],[SAPSA Number]],Table1[SAPSA number],Table1[Surname])</f>
        <v>Vermooten</v>
      </c>
      <c r="F63" s="28" t="str">
        <f>_xlfn.XLOOKUP(__xlnm._FilterDatabase_1513[[#This Row],[SAPSA Number]],Table1[SAPSA number],Table1[Initials])</f>
        <v>D</v>
      </c>
      <c r="G63" s="17" t="str">
        <f ca="1">_xlfn.XLOOKUP(__xlnm._FilterDatabase_1513[[#This Row],[SAPSA Number]],Table1[SAPSA number],Table1[Gender])</f>
        <v xml:space="preserve"> </v>
      </c>
      <c r="H63" s="19" t="e">
        <f>_xlfn.XLOOKUP(__xlnm._FilterDatabase_1513[[#This Row],[SAPSA Number]],#REF!,#REF!)</f>
        <v>#REF!</v>
      </c>
      <c r="I63" s="19" t="s">
        <v>215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 t="shared" si="3"/>
        <v>8</v>
      </c>
      <c r="B64" s="26">
        <v>896</v>
      </c>
      <c r="C64" s="25" t="str">
        <f>_xlfn.XLOOKUP(__xlnm._FilterDatabase_1513[[#This Row],[SAPSA Number]],Table1[SAPSA number],Table1[Paid up])</f>
        <v>Y</v>
      </c>
      <c r="D64" s="39" t="str">
        <f>_xlfn.XLOOKUP(__xlnm._FilterDatabase_1513[[#This Row],[SAPSA Number]],Table1[SAPSA number],Table1[Name])</f>
        <v>Johannes Francois</v>
      </c>
      <c r="E64" s="39" t="str">
        <f>_xlfn.XLOOKUP(__xlnm._FilterDatabase_1513[[#This Row],[SAPSA Number]],Table1[SAPSA number],Table1[Surname])</f>
        <v>Wheeler</v>
      </c>
      <c r="F64" s="28" t="str">
        <f>_xlfn.XLOOKUP(__xlnm._FilterDatabase_1513[[#This Row],[SAPSA Number]],Table1[SAPSA number],Table1[Initials])</f>
        <v>JF</v>
      </c>
      <c r="G64" s="17" t="str">
        <f ca="1">_xlfn.XLOOKUP(__xlnm._FilterDatabase_1513[[#This Row],[SAPSA Number]],Table1[SAPSA number],Table1[Gender])</f>
        <v xml:space="preserve"> </v>
      </c>
      <c r="H64" s="19" t="e">
        <f>_xlfn.XLOOKUP(__xlnm._FilterDatabase_1513[[#This Row],[SAPSA Number]],#REF!,#REF!)</f>
        <v>#REF!</v>
      </c>
      <c r="I64" s="19" t="s">
        <v>215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x14ac:dyDescent="0.3">
      <c r="A65" s="17">
        <f t="shared" si="3"/>
        <v>8</v>
      </c>
      <c r="B65" s="26">
        <v>1716</v>
      </c>
      <c r="C65" s="25" t="str">
        <f>_xlfn.XLOOKUP(__xlnm._FilterDatabase_1513[[#This Row],[SAPSA Number]],Table1[SAPSA number],Table1[Paid up])</f>
        <v>Y</v>
      </c>
      <c r="D65" s="39" t="str">
        <f>_xlfn.XLOOKUP(__xlnm._FilterDatabase_1513[[#This Row],[SAPSA Number]],Table1[SAPSA number],Table1[Name])</f>
        <v>Albert</v>
      </c>
      <c r="E65" s="39" t="str">
        <f>_xlfn.XLOOKUP(__xlnm._FilterDatabase_1513[[#This Row],[SAPSA Number]],Table1[SAPSA number],Table1[Surname])</f>
        <v>Wöcke</v>
      </c>
      <c r="F65" s="28" t="str">
        <f>_xlfn.XLOOKUP(__xlnm._FilterDatabase_1513[[#This Row],[SAPSA Number]],Table1[SAPSA number],Table1[Initials])</f>
        <v>A</v>
      </c>
      <c r="G65" s="17" t="str">
        <f ca="1">_xlfn.XLOOKUP(__xlnm._FilterDatabase_1513[[#This Row],[SAPSA Number]],Table1[SAPSA number],Table1[Gender])</f>
        <v>S</v>
      </c>
      <c r="H65" s="19" t="e">
        <f>_xlfn.XLOOKUP(__xlnm._FilterDatabase_1513[[#This Row],[SAPSA Number]],#REF!,#REF!)</f>
        <v>#REF!</v>
      </c>
      <c r="I65" s="19" t="s">
        <v>215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3">
      <c r="A66" s="17">
        <f t="shared" si="3"/>
        <v>8</v>
      </c>
      <c r="B66" s="26">
        <v>206</v>
      </c>
      <c r="C66" s="25">
        <f>_xlfn.XLOOKUP(__xlnm._FilterDatabase_1513[[#This Row],[SAPSA Number]],Table1[SAPSA number],Table1[Paid up])</f>
        <v>0</v>
      </c>
      <c r="D66" s="39" t="str">
        <f>_xlfn.XLOOKUP(__xlnm._FilterDatabase_1513[[#This Row],[SAPSA Number]],Table1[SAPSA number],Table1[Name])</f>
        <v>Pierre Dewald</v>
      </c>
      <c r="E66" s="39" t="str">
        <f>_xlfn.XLOOKUP(__xlnm._FilterDatabase_1513[[#This Row],[SAPSA Number]],Table1[SAPSA number],Table1[Surname])</f>
        <v>Wrogemann</v>
      </c>
      <c r="F66" s="28" t="str">
        <f>_xlfn.XLOOKUP(__xlnm._FilterDatabase_1513[[#This Row],[SAPSA Number]],Table1[SAPSA number],Table1[Initials])</f>
        <v>PD</v>
      </c>
      <c r="G66" s="17" t="str">
        <f ca="1">_xlfn.XLOOKUP(__xlnm._FilterDatabase_1513[[#This Row],[SAPSA Number]],Table1[SAPSA number],Table1[Gender])</f>
        <v>S</v>
      </c>
      <c r="H66" s="19" t="e">
        <f>_xlfn.XLOOKUP(__xlnm._FilterDatabase_1513[[#This Row],[SAPSA Number]],#REF!,#REF!)</f>
        <v>#REF!</v>
      </c>
      <c r="I66" s="19" t="s">
        <v>215</v>
      </c>
      <c r="J66" s="21">
        <f t="shared" si="4"/>
        <v>0</v>
      </c>
      <c r="K66" s="22">
        <f t="shared" ref="K66:K67" si="6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>
        <f t="shared" si="3"/>
        <v>8</v>
      </c>
      <c r="B67" s="26">
        <v>3810</v>
      </c>
      <c r="C67" s="25">
        <f>_xlfn.XLOOKUP(__xlnm._FilterDatabase_1513[[#This Row],[SAPSA Number]],Table1[SAPSA number],Table1[Paid up])</f>
        <v>0</v>
      </c>
      <c r="D67" s="39" t="str">
        <f>_xlfn.XLOOKUP(__xlnm._FilterDatabase_1513[[#This Row],[SAPSA Number]],Table1[SAPSA number],Table1[Name])</f>
        <v>Roelof</v>
      </c>
      <c r="E67" s="39" t="str">
        <f>_xlfn.XLOOKUP(__xlnm._FilterDatabase_1513[[#This Row],[SAPSA Number]],Table1[SAPSA number],Table1[Surname])</f>
        <v>Liebenberg</v>
      </c>
      <c r="F67" s="28" t="str">
        <f>_xlfn.XLOOKUP(__xlnm._FilterDatabase_1513[[#This Row],[SAPSA Number]],Table1[SAPSA number],Table1[Initials])</f>
        <v>R</v>
      </c>
      <c r="G67" s="17" t="str">
        <f ca="1">_xlfn.XLOOKUP(__xlnm._FilterDatabase_1513[[#This Row],[SAPSA Number]],Table1[SAPSA number],Table1[Gender])</f>
        <v>S</v>
      </c>
      <c r="H67" s="19" t="e">
        <f>_xlfn.XLOOKUP(__xlnm._FilterDatabase_1513[[#This Row],[SAPSA Number]],#REF!,#REF!)</f>
        <v>#REF!</v>
      </c>
      <c r="I67" s="19" t="s">
        <v>215</v>
      </c>
      <c r="J67" s="21">
        <f t="shared" si="4"/>
        <v>0</v>
      </c>
      <c r="K67" s="22">
        <f t="shared" si="6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>
        <f t="shared" si="3"/>
        <v>8</v>
      </c>
      <c r="B68" s="26">
        <v>401</v>
      </c>
      <c r="C68" s="25"/>
      <c r="D68" s="39" t="str">
        <f>_xlfn.XLOOKUP(__xlnm._FilterDatabase_1513[[#This Row],[SAPSA Number]],Table1[SAPSA number],Table1[Name])</f>
        <v>Sebella</v>
      </c>
      <c r="E68" s="39" t="str">
        <f>_xlfn.XLOOKUP(__xlnm._FilterDatabase_1513[[#This Row],[SAPSA Number]],Table1[SAPSA number],Table1[Surname])</f>
        <v>O'Donovan</v>
      </c>
      <c r="F68" s="28" t="str">
        <f>_xlfn.XLOOKUP(__xlnm._FilterDatabase_1513[[#This Row],[SAPSA Number]],Table1[SAPSA number],Table1[Initials])</f>
        <v>S</v>
      </c>
      <c r="G68" s="17" t="str">
        <f>_xlfn.XLOOKUP(__xlnm._FilterDatabase_1513[[#This Row],[SAPSA Number]],Table1[SAPSA number],Table1[Gender])</f>
        <v>Lady</v>
      </c>
      <c r="H68" s="19" t="e">
        <f>_xlfn.XLOOKUP(__xlnm._FilterDatabase_1513[[#This Row],[SAPSA Number]],#REF!,#REF!)</f>
        <v>#REF!</v>
      </c>
      <c r="I68" s="19" t="s">
        <v>215</v>
      </c>
      <c r="J68" s="21">
        <f t="shared" ref="J68:J69" si="7"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 t="shared" ref="K68:K69" si="8">(LARGE(L68:U68,1)+LARGE(L68:U68,2)+LARGE(L68:U68,3)+LARGE(L68:U68,4)+LARGE(L68:U68,5))/5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>
        <f t="shared" si="3"/>
        <v>8</v>
      </c>
      <c r="B69" s="26">
        <v>1547</v>
      </c>
      <c r="C69" s="25"/>
      <c r="D69" s="39" t="str">
        <f>_xlfn.XLOOKUP(__xlnm._FilterDatabase_1513[[#This Row],[SAPSA Number]],Table1[SAPSA number],Table1[Name])</f>
        <v>Marius Frans</v>
      </c>
      <c r="E69" s="39" t="str">
        <f>_xlfn.XLOOKUP(__xlnm._FilterDatabase_1513[[#This Row],[SAPSA Number]],Table1[SAPSA number],Table1[Surname])</f>
        <v>van Biljon</v>
      </c>
      <c r="F69" s="28" t="str">
        <f>_xlfn.XLOOKUP(__xlnm._FilterDatabase_1513[[#This Row],[SAPSA Number]],Table1[SAPSA number],Table1[Initials])</f>
        <v>MF</v>
      </c>
      <c r="G69" s="17" t="str">
        <f ca="1">_xlfn.XLOOKUP(__xlnm._FilterDatabase_1513[[#This Row],[SAPSA Number]],Table1[SAPSA number],Table1[Gender])</f>
        <v>S</v>
      </c>
      <c r="H69" s="19" t="e">
        <f>_xlfn.XLOOKUP(__xlnm._FilterDatabase_1513[[#This Row],[SAPSA Number]],#REF!,#REF!)</f>
        <v>#REF!</v>
      </c>
      <c r="I69" s="19" t="s">
        <v>215</v>
      </c>
      <c r="J69" s="21">
        <f t="shared" si="7"/>
        <v>0</v>
      </c>
      <c r="K69" s="22">
        <f t="shared" si="8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ref="A70" si="9">RANK(K70,K$2:K$135,0)</f>
        <v>8</v>
      </c>
      <c r="B70" s="26">
        <v>3837</v>
      </c>
      <c r="C70" s="25"/>
      <c r="D70" s="39" t="str">
        <f>_xlfn.XLOOKUP(__xlnm._FilterDatabase_1513[[#This Row],[SAPSA Number]],Table1[SAPSA number],Table1[Name])</f>
        <v>Daneel</v>
      </c>
      <c r="E70" s="39" t="str">
        <f>_xlfn.XLOOKUP(__xlnm._FilterDatabase_1513[[#This Row],[SAPSA Number]],Table1[SAPSA number],Table1[Surname])</f>
        <v>van eck</v>
      </c>
      <c r="F70" s="28" t="str">
        <f>_xlfn.XLOOKUP(__xlnm._FilterDatabase_1513[[#This Row],[SAPSA Number]],Table1[SAPSA number],Table1[Initials])</f>
        <v>DJ</v>
      </c>
      <c r="G70" s="17" t="str">
        <f ca="1">_xlfn.XLOOKUP(__xlnm._FilterDatabase_1513[[#This Row],[SAPSA Number]],Table1[SAPSA number],Table1[Gender])</f>
        <v xml:space="preserve"> </v>
      </c>
      <c r="H70" s="19" t="e">
        <f>_xlfn.XLOOKUP(__xlnm._FilterDatabase_1513[[#This Row],[SAPSA Number]],#REF!,#REF!)</f>
        <v>#REF!</v>
      </c>
      <c r="I70" s="19" t="s">
        <v>215</v>
      </c>
      <c r="J70" s="21">
        <f t="shared" ref="J70" si="10"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 t="shared" ref="K70" si="11">(LARGE(L70:U70,1)+LARGE(L70:U70,2)+LARGE(L70:U70,3)+LARGE(L70:U70,4)+LARGE(L70:U70,5))/5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5"/>
      <c r="C71" s="25"/>
      <c r="D71" s="39"/>
      <c r="E71" s="39"/>
      <c r="F71" s="28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x14ac:dyDescent="0.3">
      <c r="A72" s="17"/>
      <c r="B72" s="25"/>
      <c r="C72" s="25"/>
      <c r="D72" s="39"/>
      <c r="E72" s="39"/>
      <c r="F72" s="28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17"/>
      <c r="B73" s="76"/>
      <c r="C73" s="25"/>
      <c r="D73" s="39"/>
      <c r="E73" s="39"/>
      <c r="F73" s="28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17"/>
      <c r="B74" s="148"/>
      <c r="C74" s="25"/>
      <c r="D74" s="39"/>
      <c r="E74" s="39"/>
      <c r="F74" s="28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17"/>
      <c r="B75" s="26"/>
      <c r="C75" s="25"/>
      <c r="D75" s="39"/>
      <c r="E75" s="39"/>
      <c r="F75" s="28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17"/>
      <c r="B76" s="32"/>
      <c r="C76" s="25"/>
      <c r="D76" s="39"/>
      <c r="E76" s="39"/>
      <c r="F76" s="28"/>
      <c r="G76" s="17"/>
      <c r="H76" s="19"/>
      <c r="I76" s="19"/>
      <c r="J76" s="34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x14ac:dyDescent="0.3">
      <c r="A77" s="17"/>
      <c r="B77" s="32"/>
      <c r="C77" s="25"/>
      <c r="D77" s="39"/>
      <c r="E77" s="39"/>
      <c r="F77" s="28"/>
      <c r="G77" s="17"/>
      <c r="H77" s="19"/>
      <c r="I77" s="19"/>
      <c r="J77" s="34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x14ac:dyDescent="0.3">
      <c r="A78" s="17"/>
      <c r="B78" s="41"/>
      <c r="C78" s="25"/>
      <c r="D78" s="39"/>
      <c r="E78" s="39"/>
      <c r="F78" s="28"/>
      <c r="G78" s="17"/>
      <c r="H78" s="19"/>
      <c r="I78" s="19"/>
      <c r="J78" s="34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x14ac:dyDescent="0.3">
      <c r="A79" s="17"/>
      <c r="B79" s="41"/>
      <c r="C79" s="25"/>
      <c r="D79" s="39"/>
      <c r="E79" s="39"/>
      <c r="F79" s="28"/>
      <c r="G79" s="17"/>
      <c r="H79" s="19"/>
      <c r="I79" s="19"/>
      <c r="J79" s="34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17"/>
      <c r="B80" s="32"/>
      <c r="C80" s="25"/>
      <c r="D80" s="39"/>
      <c r="E80" s="39"/>
      <c r="F80" s="28"/>
      <c r="G80" s="17"/>
      <c r="H80" s="19"/>
      <c r="I80" s="19"/>
      <c r="J80" s="34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x14ac:dyDescent="0.3">
      <c r="A81" s="17"/>
      <c r="B81" s="32"/>
      <c r="C81" s="25"/>
      <c r="D81" s="39"/>
      <c r="E81" s="39"/>
      <c r="F81" s="28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17"/>
      <c r="B82" s="36"/>
      <c r="C82" s="25"/>
      <c r="D82" s="39"/>
      <c r="E82" s="39"/>
      <c r="F82" s="28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17"/>
      <c r="B83" s="32"/>
      <c r="C83" s="25"/>
      <c r="D83" s="39"/>
      <c r="E83" s="39"/>
      <c r="F83" s="28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17"/>
      <c r="B84" s="32"/>
      <c r="C84" s="25"/>
      <c r="D84" s="39"/>
      <c r="E84" s="39"/>
      <c r="F84" s="28"/>
      <c r="G84" s="17"/>
      <c r="H84" s="19"/>
      <c r="I84" s="19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17"/>
      <c r="B85" s="32"/>
      <c r="C85" s="25"/>
      <c r="D85" s="39"/>
      <c r="E85" s="39"/>
      <c r="F85" s="28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17"/>
      <c r="B86" s="32"/>
      <c r="C86" s="25"/>
      <c r="D86" s="39"/>
      <c r="E86" s="39"/>
      <c r="F86" s="28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17"/>
      <c r="B87" s="32"/>
      <c r="C87" s="25"/>
      <c r="D87" s="39"/>
      <c r="E87" s="39"/>
      <c r="F87" s="28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17"/>
      <c r="B88" s="32"/>
      <c r="C88" s="25"/>
      <c r="D88" s="39"/>
      <c r="E88" s="39"/>
      <c r="F88" s="28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17"/>
      <c r="B89" s="32"/>
      <c r="C89" s="25"/>
      <c r="D89" s="39"/>
      <c r="E89" s="39"/>
      <c r="F89" s="28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17"/>
      <c r="B90" s="41"/>
      <c r="C90" s="25"/>
      <c r="D90" s="39"/>
      <c r="E90" s="39"/>
      <c r="F90" s="28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17"/>
      <c r="B91" s="32"/>
      <c r="C91" s="25"/>
      <c r="D91" s="39"/>
      <c r="E91" s="39"/>
      <c r="F91" s="28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17"/>
      <c r="B92" s="32"/>
      <c r="C92" s="25"/>
      <c r="D92" s="39"/>
      <c r="E92" s="39"/>
      <c r="F92" s="28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17"/>
      <c r="B93" s="36"/>
      <c r="C93" s="25"/>
      <c r="D93" s="39"/>
      <c r="E93" s="39"/>
      <c r="F93" s="28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17"/>
      <c r="B94" s="44"/>
      <c r="C94" s="100"/>
      <c r="D94" s="39"/>
      <c r="E94" s="39"/>
      <c r="F94" s="28"/>
      <c r="G94" s="17"/>
      <c r="H94" s="19"/>
      <c r="I94" s="29"/>
      <c r="J94" s="52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17"/>
      <c r="B95" s="41"/>
      <c r="C95" s="25"/>
      <c r="D95" s="39"/>
      <c r="E95" s="39"/>
      <c r="F95" s="28"/>
      <c r="G95" s="17"/>
      <c r="H95" s="19"/>
      <c r="I95" s="33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17"/>
      <c r="B96" s="32"/>
      <c r="C96" s="25"/>
      <c r="D96" s="39"/>
      <c r="E96" s="39"/>
      <c r="F96" s="28"/>
      <c r="G96" s="17"/>
      <c r="H96" s="19"/>
      <c r="I96" s="33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17"/>
      <c r="B97" s="32"/>
      <c r="C97" s="25"/>
      <c r="D97" s="39"/>
      <c r="E97" s="39"/>
      <c r="F97" s="28"/>
      <c r="G97" s="17"/>
      <c r="H97" s="19"/>
      <c r="I97" s="33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17"/>
      <c r="B98" s="41"/>
      <c r="C98" s="25"/>
      <c r="D98" s="39"/>
      <c r="E98" s="39"/>
      <c r="F98" s="28"/>
      <c r="G98" s="17"/>
      <c r="H98" s="19"/>
      <c r="I98" s="33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17"/>
      <c r="B99" s="32"/>
      <c r="C99" s="25"/>
      <c r="D99" s="39"/>
      <c r="E99" s="39"/>
      <c r="F99" s="28"/>
      <c r="G99" s="17"/>
      <c r="H99" s="19"/>
      <c r="I99" s="33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17"/>
      <c r="B100" s="41"/>
      <c r="C100" s="25"/>
      <c r="D100" s="39"/>
      <c r="E100" s="39"/>
      <c r="F100" s="28"/>
      <c r="G100" s="17"/>
      <c r="H100" s="19"/>
      <c r="I100" s="33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17"/>
      <c r="B101" s="32"/>
      <c r="C101" s="25"/>
      <c r="D101" s="39"/>
      <c r="E101" s="39"/>
      <c r="F101" s="28"/>
      <c r="G101" s="17"/>
      <c r="H101" s="19"/>
      <c r="I101" s="33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17"/>
      <c r="B102" s="32"/>
      <c r="C102" s="25"/>
      <c r="D102" s="39"/>
      <c r="E102" s="39"/>
      <c r="F102" s="28"/>
      <c r="G102" s="17"/>
      <c r="H102" s="19"/>
      <c r="I102" s="33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17"/>
      <c r="B103" s="43"/>
      <c r="C103" s="25"/>
      <c r="D103" s="39"/>
      <c r="E103" s="39"/>
      <c r="F103" s="28"/>
      <c r="G103" s="17"/>
      <c r="H103" s="19"/>
      <c r="I103" s="33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17"/>
      <c r="B104" s="32"/>
      <c r="C104" s="25"/>
      <c r="D104" s="39"/>
      <c r="E104" s="39"/>
      <c r="F104" s="28"/>
      <c r="G104" s="17"/>
      <c r="H104" s="19"/>
      <c r="I104" s="33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x14ac:dyDescent="0.3">
      <c r="A105" s="17"/>
      <c r="B105" s="32"/>
      <c r="C105" s="25"/>
      <c r="D105" s="39"/>
      <c r="E105" s="39"/>
      <c r="F105" s="28"/>
      <c r="G105" s="17"/>
      <c r="H105" s="19"/>
      <c r="I105" s="33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x14ac:dyDescent="0.3">
      <c r="A106" s="17"/>
      <c r="B106" s="32"/>
      <c r="C106" s="25"/>
      <c r="D106" s="39"/>
      <c r="E106" s="39"/>
      <c r="F106" s="28"/>
      <c r="G106" s="17"/>
      <c r="H106" s="19"/>
      <c r="I106" s="33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17"/>
      <c r="B107" s="32"/>
      <c r="C107" s="25"/>
      <c r="D107" s="39"/>
      <c r="E107" s="39"/>
      <c r="F107" s="28"/>
      <c r="G107" s="17"/>
      <c r="H107" s="19"/>
      <c r="I107" s="33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x14ac:dyDescent="0.3">
      <c r="A108" s="17"/>
      <c r="B108" s="32"/>
      <c r="C108" s="25"/>
      <c r="D108" s="39"/>
      <c r="E108" s="39"/>
      <c r="F108" s="28"/>
      <c r="G108" s="17"/>
      <c r="H108" s="19"/>
      <c r="I108" s="33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17"/>
      <c r="B109" s="41"/>
      <c r="C109" s="25"/>
      <c r="D109" s="3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17"/>
      <c r="B110" s="41"/>
      <c r="C110" s="25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17"/>
      <c r="B111" s="32"/>
      <c r="C111" s="25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17"/>
      <c r="B112" s="32"/>
      <c r="C112" s="25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17"/>
      <c r="B113" s="32"/>
      <c r="C113" s="25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17"/>
      <c r="B114" s="32"/>
      <c r="C114" s="25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17"/>
      <c r="B115" s="32"/>
      <c r="C115" s="25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17"/>
      <c r="B116" s="43"/>
      <c r="C116" s="25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17"/>
      <c r="B117" s="32"/>
      <c r="C117" s="25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17"/>
      <c r="B118" s="43"/>
      <c r="C118" s="25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17"/>
      <c r="B119" s="3"/>
      <c r="C119" s="25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17"/>
      <c r="B120" s="42"/>
      <c r="C120" s="30"/>
      <c r="D120" s="126"/>
      <c r="E120" s="126"/>
      <c r="F120" s="127"/>
      <c r="G120" s="128"/>
      <c r="H120" s="29"/>
      <c r="I120" s="129"/>
      <c r="J120" s="52"/>
      <c r="K120" s="130"/>
      <c r="L120" s="53"/>
      <c r="M120" s="54"/>
      <c r="N120" s="53"/>
      <c r="O120" s="54"/>
      <c r="P120" s="53"/>
      <c r="Q120" s="54"/>
      <c r="R120" s="53"/>
      <c r="S120" s="54"/>
      <c r="T120" s="53"/>
      <c r="U120" s="54"/>
      <c r="V120" s="53"/>
      <c r="W120" s="54"/>
    </row>
    <row r="121" spans="1:23" x14ac:dyDescent="0.3">
      <c r="A121" s="17"/>
      <c r="B121" s="43"/>
      <c r="C121" s="32"/>
      <c r="D121" s="41"/>
      <c r="E121" s="41"/>
      <c r="F121" s="43"/>
      <c r="G121" s="31"/>
      <c r="H121" s="33"/>
      <c r="I121" s="33"/>
      <c r="J121" s="52"/>
      <c r="K121" s="130"/>
      <c r="L121" s="53"/>
      <c r="M121" s="54"/>
      <c r="N121" s="53"/>
      <c r="O121" s="54"/>
      <c r="P121" s="53"/>
      <c r="Q121" s="54"/>
      <c r="R121" s="53"/>
      <c r="S121" s="54"/>
      <c r="T121" s="53"/>
      <c r="U121" s="54"/>
      <c r="V121" s="53"/>
      <c r="W121" s="54"/>
    </row>
    <row r="122" spans="1:23" x14ac:dyDescent="0.3">
      <c r="A122" s="17"/>
      <c r="B122" s="32"/>
      <c r="C122" s="32"/>
      <c r="D122" s="41"/>
      <c r="E122" s="41"/>
      <c r="F122" s="43"/>
      <c r="G122" s="31"/>
      <c r="H122" s="33"/>
      <c r="I122" s="33"/>
      <c r="J122" s="34"/>
      <c r="K122" s="131"/>
      <c r="L122" s="55"/>
      <c r="M122" s="56"/>
      <c r="N122" s="55"/>
      <c r="O122" s="56"/>
      <c r="P122" s="55"/>
      <c r="Q122" s="56"/>
      <c r="R122" s="55"/>
      <c r="S122" s="56"/>
      <c r="T122" s="55"/>
      <c r="U122" s="56"/>
      <c r="V122" s="55"/>
      <c r="W122" s="56"/>
    </row>
  </sheetData>
  <sheetProtection selectLockedCells="1" selectUnlockedCells="1"/>
  <conditionalFormatting sqref="G2:G122">
    <cfRule type="cellIs" dxfId="2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A33C-7B1D-4878-920B-B81F83FCB3E6}">
  <sheetPr codeName="Sheet15">
    <tabColor theme="7" tint="0.39997558519241921"/>
  </sheetPr>
  <dimension ref="A1:AMJ126"/>
  <sheetViews>
    <sheetView zoomScale="80" zoomScaleNormal="8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B71" sqref="B71"/>
    </sheetView>
  </sheetViews>
  <sheetFormatPr defaultRowHeight="14.4" x14ac:dyDescent="0.3"/>
  <cols>
    <col min="1" max="1" width="9.33203125" style="37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8.6640625" style="16" customWidth="1"/>
    <col min="7" max="7" width="8.5546875" style="16" bestFit="1" customWidth="1"/>
    <col min="8" max="8" width="6.6640625" style="16" hidden="1" customWidth="1"/>
    <col min="9" max="9" width="13.88671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9" si="0">RANK(K2,K$2:K$139,0)</f>
        <v>1</v>
      </c>
      <c r="B2" s="25">
        <v>1321</v>
      </c>
      <c r="C2" s="25">
        <f>_xlfn.XLOOKUP(__xlnm._FilterDatabase_1515[[#This Row],[SAPSA Number]],Table1[SAPSA number],Table1[Paid up])</f>
        <v>0</v>
      </c>
      <c r="D2" s="39" t="str">
        <f>_xlfn.XLOOKUP(__xlnm._FilterDatabase_1515[[#This Row],[SAPSA Number]],Table1[SAPSA number],Table1[Name])</f>
        <v>Neal Monisen</v>
      </c>
      <c r="E2" s="39" t="str">
        <f>_xlfn.XLOOKUP(__xlnm._FilterDatabase_1515[[#This Row],[SAPSA Number]],Table1[SAPSA number],Table1[Surname])</f>
        <v>Sokay</v>
      </c>
      <c r="F2" s="28" t="str">
        <f>_xlfn.XLOOKUP(__xlnm._FilterDatabase_1515[[#This Row],[SAPSA Number]],Table1[SAPSA number],Table1[Initials])</f>
        <v>NM</v>
      </c>
      <c r="G2" s="17" t="str">
        <f ca="1">_xlfn.XLOOKUP(__xlnm._FilterDatabase_1515[[#This Row],[SAPSA Number]],Table1[SAPSA number],Table1[Gender])</f>
        <v>S</v>
      </c>
      <c r="H2" s="19" t="e">
        <f>_xlfn.XLOOKUP(__xlnm._FilterDatabase_1515[[#This Row],[SAPSA Number]],#REF!,#REF!)</f>
        <v>#REF!</v>
      </c>
      <c r="I2" s="19" t="s">
        <v>236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5</v>
      </c>
      <c r="K2" s="22">
        <f t="shared" ref="K2:K33" si="2">(LARGE(L2:U2,1)+LARGE(L2:U2,2)+LARGE(L2:U2,3)+LARGE(L2:U2,4)+LARGE(L2:U2,5))/5</f>
        <v>96.554339999999996</v>
      </c>
      <c r="L2" s="79">
        <v>100</v>
      </c>
      <c r="M2" s="80">
        <v>100</v>
      </c>
      <c r="N2" s="79">
        <v>100</v>
      </c>
      <c r="O2" s="80">
        <v>0</v>
      </c>
      <c r="P2" s="79">
        <v>0</v>
      </c>
      <c r="Q2" s="80">
        <v>0</v>
      </c>
      <c r="R2" s="79">
        <v>82.771699999999996</v>
      </c>
      <c r="S2" s="80">
        <v>100</v>
      </c>
      <c r="T2" s="79">
        <v>0</v>
      </c>
      <c r="U2" s="80">
        <v>0</v>
      </c>
      <c r="V2" s="79">
        <v>0</v>
      </c>
      <c r="W2" s="80">
        <v>0</v>
      </c>
    </row>
    <row r="3" spans="1:23" ht="14.4" customHeight="1" x14ac:dyDescent="0.3">
      <c r="A3" s="17">
        <f t="shared" si="0"/>
        <v>2</v>
      </c>
      <c r="B3" s="25">
        <v>4672</v>
      </c>
      <c r="C3" s="25" t="str">
        <f>_xlfn.XLOOKUP(__xlnm._FilterDatabase_1515[[#This Row],[SAPSA Number]],Table1[SAPSA number],Table1[Paid up])</f>
        <v>Y</v>
      </c>
      <c r="D3" s="39" t="str">
        <f>_xlfn.XLOOKUP(__xlnm._FilterDatabase_1515[[#This Row],[SAPSA Number]],Table1[SAPSA number],Table1[Name])</f>
        <v>Frederick John</v>
      </c>
      <c r="E3" s="39" t="str">
        <f>_xlfn.XLOOKUP(__xlnm._FilterDatabase_1515[[#This Row],[SAPSA Number]],Table1[SAPSA number],Table1[Surname])</f>
        <v>Turnbull</v>
      </c>
      <c r="F3" s="28" t="str">
        <f>_xlfn.XLOOKUP(__xlnm._FilterDatabase_1515[[#This Row],[SAPSA Number]],Table1[SAPSA number],Table1[Initials])</f>
        <v>FJ</v>
      </c>
      <c r="G3" s="17" t="str">
        <f ca="1">_xlfn.XLOOKUP(__xlnm._FilterDatabase_1515[[#This Row],[SAPSA Number]],Table1[SAPSA number],Table1[Gender])</f>
        <v>SS</v>
      </c>
      <c r="H3" s="19" t="e">
        <f>_xlfn.XLOOKUP(__xlnm._FilterDatabase_1515[[#This Row],[SAPSA Number]],#REF!,#REF!)</f>
        <v>#REF!</v>
      </c>
      <c r="I3" s="19" t="s">
        <v>236</v>
      </c>
      <c r="J3" s="21">
        <f t="shared" si="1"/>
        <v>2</v>
      </c>
      <c r="K3" s="22">
        <f t="shared" si="2"/>
        <v>40</v>
      </c>
      <c r="L3" s="79">
        <v>0</v>
      </c>
      <c r="M3" s="80">
        <v>0</v>
      </c>
      <c r="N3" s="79">
        <v>0</v>
      </c>
      <c r="O3" s="80">
        <v>100</v>
      </c>
      <c r="P3" s="79">
        <v>0</v>
      </c>
      <c r="Q3" s="80">
        <v>0</v>
      </c>
      <c r="R3" s="79">
        <v>100</v>
      </c>
      <c r="S3" s="80">
        <v>0</v>
      </c>
      <c r="T3" s="79">
        <v>0</v>
      </c>
      <c r="U3" s="80">
        <v>0</v>
      </c>
      <c r="V3" s="79">
        <v>0</v>
      </c>
      <c r="W3" s="80">
        <v>0</v>
      </c>
    </row>
    <row r="4" spans="1:23" ht="14.4" customHeight="1" x14ac:dyDescent="0.3">
      <c r="A4" s="17">
        <f t="shared" si="0"/>
        <v>3</v>
      </c>
      <c r="B4" s="25">
        <v>2051</v>
      </c>
      <c r="C4" s="25" t="str">
        <f>_xlfn.XLOOKUP(__xlnm._FilterDatabase_1515[[#This Row],[SAPSA Number]],Table1[SAPSA number],Table1[Paid up])</f>
        <v>Y</v>
      </c>
      <c r="D4" s="39" t="str">
        <f>_xlfn.XLOOKUP(__xlnm._FilterDatabase_1515[[#This Row],[SAPSA Number]],Table1[SAPSA number],Table1[Name])</f>
        <v>Simon Adriaan</v>
      </c>
      <c r="E4" s="39" t="str">
        <f>_xlfn.XLOOKUP(__xlnm._FilterDatabase_1515[[#This Row],[SAPSA Number]],Table1[SAPSA number],Table1[Surname])</f>
        <v>Vermooten</v>
      </c>
      <c r="F4" s="28" t="str">
        <f>_xlfn.XLOOKUP(__xlnm._FilterDatabase_1515[[#This Row],[SAPSA Number]],Table1[SAPSA number],Table1[Initials])</f>
        <v>SA</v>
      </c>
      <c r="G4" s="17" t="str">
        <f ca="1">_xlfn.XLOOKUP(__xlnm._FilterDatabase_1515[[#This Row],[SAPSA Number]],Table1[SAPSA number],Table1[Gender])</f>
        <v>GS</v>
      </c>
      <c r="H4" s="19" t="e">
        <f>_xlfn.XLOOKUP(__xlnm._FilterDatabase_1515[[#This Row],[SAPSA Number]],#REF!,#REF!)</f>
        <v>#REF!</v>
      </c>
      <c r="I4" s="19" t="s">
        <v>236</v>
      </c>
      <c r="J4" s="21">
        <f t="shared" si="1"/>
        <v>1</v>
      </c>
      <c r="K4" s="22">
        <f t="shared" si="2"/>
        <v>20</v>
      </c>
      <c r="L4" s="79">
        <v>0</v>
      </c>
      <c r="M4" s="80">
        <v>0</v>
      </c>
      <c r="N4" s="79">
        <v>0</v>
      </c>
      <c r="O4" s="80">
        <v>0</v>
      </c>
      <c r="P4" s="79">
        <v>100</v>
      </c>
      <c r="Q4" s="80">
        <v>0</v>
      </c>
      <c r="R4" s="79">
        <v>0</v>
      </c>
      <c r="S4" s="80">
        <v>0</v>
      </c>
      <c r="T4" s="79">
        <v>0</v>
      </c>
      <c r="U4" s="80">
        <v>0</v>
      </c>
      <c r="V4" s="79">
        <v>0</v>
      </c>
      <c r="W4" s="80">
        <v>0</v>
      </c>
    </row>
    <row r="5" spans="1:23" ht="14.4" customHeight="1" x14ac:dyDescent="0.3">
      <c r="A5" s="17">
        <f t="shared" si="0"/>
        <v>4</v>
      </c>
      <c r="B5" s="25">
        <v>572</v>
      </c>
      <c r="C5" s="25" t="str">
        <f>_xlfn.XLOOKUP(__xlnm._FilterDatabase_1515[[#This Row],[SAPSA Number]],Table1[SAPSA number],Table1[Paid up])</f>
        <v>Y</v>
      </c>
      <c r="D5" s="39" t="str">
        <f>_xlfn.XLOOKUP(__xlnm._FilterDatabase_1515[[#This Row],[SAPSA Number]],Table1[SAPSA number],Table1[Name])</f>
        <v>DJ</v>
      </c>
      <c r="E5" s="39" t="str">
        <f>_xlfn.XLOOKUP(__xlnm._FilterDatabase_1515[[#This Row],[SAPSA Number]],Table1[SAPSA number],Table1[Surname])</f>
        <v>Smith</v>
      </c>
      <c r="F5" s="28" t="str">
        <f>_xlfn.XLOOKUP(__xlnm._FilterDatabase_1515[[#This Row],[SAPSA Number]],Table1[SAPSA number],Table1[Initials])</f>
        <v>DJ</v>
      </c>
      <c r="G5" s="17" t="str">
        <f ca="1">_xlfn.XLOOKUP(__xlnm._FilterDatabase_1515[[#This Row],[SAPSA Number]],Table1[SAPSA number],Table1[Gender])</f>
        <v>SS</v>
      </c>
      <c r="H5" s="19" t="e">
        <f>_xlfn.XLOOKUP(__xlnm._FilterDatabase_1515[[#This Row],[SAPSA Number]],#REF!,#REF!)</f>
        <v>#REF!</v>
      </c>
      <c r="I5" s="19" t="s">
        <v>236</v>
      </c>
      <c r="J5" s="21">
        <f t="shared" si="1"/>
        <v>1</v>
      </c>
      <c r="K5" s="22">
        <f t="shared" si="2"/>
        <v>17.71508</v>
      </c>
      <c r="L5" s="79">
        <v>0</v>
      </c>
      <c r="M5" s="80">
        <v>88.575400000000002</v>
      </c>
      <c r="N5" s="79">
        <v>0</v>
      </c>
      <c r="O5" s="80">
        <v>0</v>
      </c>
      <c r="P5" s="79">
        <v>0</v>
      </c>
      <c r="Q5" s="80">
        <v>0</v>
      </c>
      <c r="R5" s="79">
        <v>0</v>
      </c>
      <c r="S5" s="80">
        <v>0</v>
      </c>
      <c r="T5" s="79">
        <v>0</v>
      </c>
      <c r="U5" s="80">
        <v>0</v>
      </c>
      <c r="V5" s="79">
        <v>0</v>
      </c>
      <c r="W5" s="80">
        <v>0</v>
      </c>
    </row>
    <row r="6" spans="1:23" ht="14.4" customHeight="1" x14ac:dyDescent="0.3">
      <c r="A6" s="17">
        <f t="shared" si="0"/>
        <v>5</v>
      </c>
      <c r="B6" s="25">
        <v>1471</v>
      </c>
      <c r="C6" s="25" t="str">
        <f>_xlfn.XLOOKUP(__xlnm._FilterDatabase_1515[[#This Row],[SAPSA Number]],Table1[SAPSA number],Table1[Paid up])</f>
        <v>Y</v>
      </c>
      <c r="D6" s="39" t="str">
        <f>_xlfn.XLOOKUP(__xlnm._FilterDatabase_1515[[#This Row],[SAPSA Number]],Table1[SAPSA number],Table1[Name])</f>
        <v>Nikolaus Phillip Karl</v>
      </c>
      <c r="E6" s="39" t="str">
        <f>_xlfn.XLOOKUP(__xlnm._FilterDatabase_1515[[#This Row],[SAPSA Number]],Table1[SAPSA number],Table1[Surname])</f>
        <v>Bernhard</v>
      </c>
      <c r="F6" s="28" t="str">
        <f>_xlfn.XLOOKUP(__xlnm._FilterDatabase_1515[[#This Row],[SAPSA Number]],Table1[SAPSA number],Table1[Initials])</f>
        <v>NPK</v>
      </c>
      <c r="G6" s="17" t="str">
        <f ca="1">_xlfn.XLOOKUP(__xlnm._FilterDatabase_1515[[#This Row],[SAPSA Number]],Table1[SAPSA number],Table1[Gender])</f>
        <v xml:space="preserve"> </v>
      </c>
      <c r="H6" s="19" t="e">
        <f>_xlfn.XLOOKUP(__xlnm._FilterDatabase_1515[[#This Row],[SAPSA Number]],#REF!,#REF!)</f>
        <v>#REF!</v>
      </c>
      <c r="I6" s="19" t="s">
        <v>236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 t="shared" si="0"/>
        <v>5</v>
      </c>
      <c r="B7" s="25">
        <v>4624</v>
      </c>
      <c r="C7" s="25" t="str">
        <f>_xlfn.XLOOKUP(__xlnm._FilterDatabase_1515[[#This Row],[SAPSA Number]],Table1[SAPSA number],Table1[Paid up])</f>
        <v>Y</v>
      </c>
      <c r="D7" s="39" t="str">
        <f>_xlfn.XLOOKUP(__xlnm._FilterDatabase_1515[[#This Row],[SAPSA Number]],Table1[SAPSA number],Table1[Name])</f>
        <v>Stephanus Christiaan</v>
      </c>
      <c r="E7" s="39" t="str">
        <f>_xlfn.XLOOKUP(__xlnm._FilterDatabase_1515[[#This Row],[SAPSA Number]],Table1[SAPSA number],Table1[Surname])</f>
        <v>Bester</v>
      </c>
      <c r="F7" s="28" t="str">
        <f>_xlfn.XLOOKUP(__xlnm._FilterDatabase_1515[[#This Row],[SAPSA Number]],Table1[SAPSA number],Table1[Initials])</f>
        <v>SC</v>
      </c>
      <c r="G7" s="17" t="str">
        <f ca="1">_xlfn.XLOOKUP(__xlnm._FilterDatabase_1515[[#This Row],[SAPSA Number]],Table1[SAPSA number],Table1[Gender])</f>
        <v>S</v>
      </c>
      <c r="H7" s="19" t="e">
        <f>_xlfn.XLOOKUP(__xlnm._FilterDatabase_1515[[#This Row],[SAPSA Number]],#REF!,#REF!)</f>
        <v>#REF!</v>
      </c>
      <c r="I7" s="19" t="s">
        <v>236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 t="shared" si="0"/>
        <v>5</v>
      </c>
      <c r="B8" s="25">
        <v>7431</v>
      </c>
      <c r="C8" s="25">
        <f>_xlfn.XLOOKUP(__xlnm._FilterDatabase_1515[[#This Row],[SAPSA Number]],Table1[SAPSA number],Table1[Paid up])</f>
        <v>0</v>
      </c>
      <c r="D8" s="39" t="str">
        <f>_xlfn.XLOOKUP(__xlnm._FilterDatabase_1515[[#This Row],[SAPSA Number]],Table1[SAPSA number],Table1[Name])</f>
        <v>Anton</v>
      </c>
      <c r="E8" s="39" t="str">
        <f>_xlfn.XLOOKUP(__xlnm._FilterDatabase_1515[[#This Row],[SAPSA Number]],Table1[SAPSA number],Table1[Surname])</f>
        <v>Booyse</v>
      </c>
      <c r="F8" s="28" t="str">
        <f>_xlfn.XLOOKUP(__xlnm._FilterDatabase_1515[[#This Row],[SAPSA Number]],Table1[SAPSA number],Table1[Initials])</f>
        <v>A</v>
      </c>
      <c r="G8" s="17">
        <f>_xlfn.XLOOKUP(__xlnm._FilterDatabase_1515[[#This Row],[SAPSA Number]],Table1[SAPSA number],Table1[Gender])</f>
        <v>0</v>
      </c>
      <c r="H8" s="19" t="e">
        <f>_xlfn.XLOOKUP(__xlnm._FilterDatabase_1515[[#This Row],[SAPSA Number]],#REF!,#REF!)</f>
        <v>#REF!</v>
      </c>
      <c r="I8" s="19" t="s">
        <v>236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 t="shared" si="0"/>
        <v>5</v>
      </c>
      <c r="B9" s="18">
        <v>3349</v>
      </c>
      <c r="C9" s="25">
        <f>_xlfn.XLOOKUP(__xlnm._FilterDatabase_1515[[#This Row],[SAPSA Number]],Table1[SAPSA number],Table1[Paid up])</f>
        <v>0</v>
      </c>
      <c r="D9" s="39" t="str">
        <f>_xlfn.XLOOKUP(__xlnm._FilterDatabase_1515[[#This Row],[SAPSA Number]],Table1[SAPSA number],Table1[Name])</f>
        <v>Stefanus Christiaan</v>
      </c>
      <c r="E9" s="39" t="str">
        <f>_xlfn.XLOOKUP(__xlnm._FilterDatabase_1515[[#This Row],[SAPSA Number]],Table1[SAPSA number],Table1[Surname])</f>
        <v>Bosch</v>
      </c>
      <c r="F9" s="28" t="str">
        <f>_xlfn.XLOOKUP(__xlnm._FilterDatabase_1515[[#This Row],[SAPSA Number]],Table1[SAPSA number],Table1[Initials])</f>
        <v>SC</v>
      </c>
      <c r="G9" s="17" t="str">
        <f ca="1">_xlfn.XLOOKUP(__xlnm._FilterDatabase_1515[[#This Row],[SAPSA Number]],Table1[SAPSA number],Table1[Gender])</f>
        <v>S</v>
      </c>
      <c r="H9" s="19" t="e">
        <f>_xlfn.XLOOKUP(__xlnm._FilterDatabase_1515[[#This Row],[SAPSA Number]],#REF!,#REF!)</f>
        <v>#REF!</v>
      </c>
      <c r="I9" s="19" t="s">
        <v>236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>RANK(K10,K$2:K$158,0)</f>
        <v>5</v>
      </c>
      <c r="B10" s="18">
        <v>4621</v>
      </c>
      <c r="C10" s="25">
        <f>_xlfn.XLOOKUP(__xlnm._FilterDatabase_1515[[#This Row],[SAPSA Number]],Table1[SAPSA number],Table1[Paid up])</f>
        <v>0</v>
      </c>
      <c r="D10" s="39" t="str">
        <f>_xlfn.XLOOKUP(__xlnm._FilterDatabase_1515[[#This Row],[SAPSA Number]],Table1[SAPSA number],Table1[Name])</f>
        <v>Colin</v>
      </c>
      <c r="E10" s="39" t="str">
        <f>_xlfn.XLOOKUP(__xlnm._FilterDatabase_1515[[#This Row],[SAPSA Number]],Table1[SAPSA number],Table1[Surname])</f>
        <v>Bowring</v>
      </c>
      <c r="F10" s="28" t="str">
        <f>_xlfn.XLOOKUP(__xlnm._FilterDatabase_1515[[#This Row],[SAPSA Number]],Table1[SAPSA number],Table1[Initials])</f>
        <v>C</v>
      </c>
      <c r="G10" s="17" t="str">
        <f ca="1">_xlfn.XLOOKUP(__xlnm._FilterDatabase_1515[[#This Row],[SAPSA Number]],Table1[SAPSA number],Table1[Gender])</f>
        <v>SS</v>
      </c>
      <c r="H10" s="19" t="e">
        <f>_xlfn.XLOOKUP(__xlnm._FilterDatabase_1515[[#This Row],[SAPSA Number]],#REF!,#REF!)</f>
        <v>#REF!</v>
      </c>
      <c r="I10" s="19" t="s">
        <v>236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ref="A11:A42" si="3">RANK(K11,K$2:K$139,0)</f>
        <v>5</v>
      </c>
      <c r="B11" s="18">
        <v>3338</v>
      </c>
      <c r="C11" s="25">
        <f>_xlfn.XLOOKUP(__xlnm._FilterDatabase_1515[[#This Row],[SAPSA Number]],Table1[SAPSA number],Table1[Paid up])</f>
        <v>0</v>
      </c>
      <c r="D11" s="39" t="str">
        <f>_xlfn.XLOOKUP(__xlnm._FilterDatabase_1515[[#This Row],[SAPSA Number]],Table1[SAPSA number],Table1[Name])</f>
        <v>Carl Johann</v>
      </c>
      <c r="E11" s="39" t="str">
        <f>_xlfn.XLOOKUP(__xlnm._FilterDatabase_1515[[#This Row],[SAPSA Number]],Table1[SAPSA number],Table1[Surname])</f>
        <v>Brandt</v>
      </c>
      <c r="F11" s="28" t="str">
        <f>_xlfn.XLOOKUP(__xlnm._FilterDatabase_1515[[#This Row],[SAPSA Number]],Table1[SAPSA number],Table1[Initials])</f>
        <v>CJ</v>
      </c>
      <c r="G11" s="17" t="str">
        <f ca="1">_xlfn.XLOOKUP(__xlnm._FilterDatabase_1515[[#This Row],[SAPSA Number]],Table1[SAPSA number],Table1[Gender])</f>
        <v>S</v>
      </c>
      <c r="H11" s="19" t="e">
        <f>_xlfn.XLOOKUP(__xlnm._FilterDatabase_1515[[#This Row],[SAPSA Number]],#REF!,#REF!)</f>
        <v>#REF!</v>
      </c>
      <c r="I11" s="19" t="s">
        <v>236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3"/>
        <v>5</v>
      </c>
      <c r="B12" s="25">
        <v>3350</v>
      </c>
      <c r="C12" s="25">
        <f>_xlfn.XLOOKUP(__xlnm._FilterDatabase_1515[[#This Row],[SAPSA Number]],Table1[SAPSA number],Table1[Paid up])</f>
        <v>0</v>
      </c>
      <c r="D12" s="39" t="str">
        <f>_xlfn.XLOOKUP(__xlnm._FilterDatabase_1515[[#This Row],[SAPSA Number]],Table1[SAPSA number],Table1[Name])</f>
        <v>Conrad Ernest</v>
      </c>
      <c r="E12" s="39" t="str">
        <f>_xlfn.XLOOKUP(__xlnm._FilterDatabase_1515[[#This Row],[SAPSA Number]],Table1[SAPSA number],Table1[Surname])</f>
        <v>Brandt</v>
      </c>
      <c r="F12" s="28" t="str">
        <f>_xlfn.XLOOKUP(__xlnm._FilterDatabase_1515[[#This Row],[SAPSA Number]],Table1[SAPSA number],Table1[Initials])</f>
        <v>CE</v>
      </c>
      <c r="G12" s="17" t="str">
        <f ca="1">_xlfn.XLOOKUP(__xlnm._FilterDatabase_1515[[#This Row],[SAPSA Number]],Table1[SAPSA number],Table1[Gender])</f>
        <v>S</v>
      </c>
      <c r="H12" s="19" t="e">
        <f>_xlfn.XLOOKUP(__xlnm._FilterDatabase_1515[[#This Row],[SAPSA Number]],#REF!,#REF!)</f>
        <v>#REF!</v>
      </c>
      <c r="I12" s="19" t="s">
        <v>236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3"/>
        <v>5</v>
      </c>
      <c r="B13" s="25">
        <v>3576</v>
      </c>
      <c r="C13" s="25" t="str">
        <f>_xlfn.XLOOKUP(__xlnm._FilterDatabase_1515[[#This Row],[SAPSA Number]],Table1[SAPSA number],Table1[Paid up])</f>
        <v>Y</v>
      </c>
      <c r="D13" s="39" t="str">
        <f>_xlfn.XLOOKUP(__xlnm._FilterDatabase_1515[[#This Row],[SAPSA Number]],Table1[SAPSA number],Table1[Name])</f>
        <v>Christoff Mechiel</v>
      </c>
      <c r="E13" s="39" t="str">
        <f>_xlfn.XLOOKUP(__xlnm._FilterDatabase_1515[[#This Row],[SAPSA Number]],Table1[SAPSA number],Table1[Surname])</f>
        <v>Brandt</v>
      </c>
      <c r="F13" s="28" t="str">
        <f>_xlfn.XLOOKUP(__xlnm._FilterDatabase_1515[[#This Row],[SAPSA Number]],Table1[SAPSA number],Table1[Initials])</f>
        <v>CM</v>
      </c>
      <c r="G13" s="17" t="str">
        <f ca="1">_xlfn.XLOOKUP(__xlnm._FilterDatabase_1515[[#This Row],[SAPSA Number]],Table1[SAPSA number],Table1[Gender])</f>
        <v xml:space="preserve"> </v>
      </c>
      <c r="H13" s="19" t="e">
        <f>_xlfn.XLOOKUP(__xlnm._FilterDatabase_1515[[#This Row],[SAPSA Number]],#REF!,#REF!)</f>
        <v>#REF!</v>
      </c>
      <c r="I13" s="19" t="s">
        <v>236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3"/>
        <v>5</v>
      </c>
      <c r="B14" s="40">
        <v>5304</v>
      </c>
      <c r="C14" s="25">
        <f>_xlfn.XLOOKUP(__xlnm._FilterDatabase_1515[[#This Row],[SAPSA Number]],Table1[SAPSA number],Table1[Paid up])</f>
        <v>0</v>
      </c>
      <c r="D14" s="39" t="str">
        <f>_xlfn.XLOOKUP(__xlnm._FilterDatabase_1515[[#This Row],[SAPSA Number]],Table1[SAPSA number],Table1[Name])</f>
        <v>Johan Gerard</v>
      </c>
      <c r="E14" s="39" t="str">
        <f>_xlfn.XLOOKUP(__xlnm._FilterDatabase_1515[[#This Row],[SAPSA Number]],Table1[SAPSA number],Table1[Surname])</f>
        <v>Bultman</v>
      </c>
      <c r="F14" s="28" t="str">
        <f>_xlfn.XLOOKUP(__xlnm._FilterDatabase_1515[[#This Row],[SAPSA Number]],Table1[SAPSA number],Table1[Initials])</f>
        <v>JG</v>
      </c>
      <c r="G14" s="17" t="str">
        <f ca="1">_xlfn.XLOOKUP(__xlnm._FilterDatabase_1515[[#This Row],[SAPSA Number]],Table1[SAPSA number],Table1[Gender])</f>
        <v xml:space="preserve"> </v>
      </c>
      <c r="H14" s="19" t="e">
        <f>_xlfn.XLOOKUP(__xlnm._FilterDatabase_1515[[#This Row],[SAPSA Number]],#REF!,#REF!)</f>
        <v>#REF!</v>
      </c>
      <c r="I14" s="19" t="s">
        <v>236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3"/>
        <v>5</v>
      </c>
      <c r="B15" s="25">
        <v>259</v>
      </c>
      <c r="C15" s="25" t="str">
        <f>_xlfn.XLOOKUP(__xlnm._FilterDatabase_1515[[#This Row],[SAPSA Number]],Table1[SAPSA number],Table1[Paid up])</f>
        <v>Y</v>
      </c>
      <c r="D15" s="39" t="str">
        <f>_xlfn.XLOOKUP(__xlnm._FilterDatabase_1515[[#This Row],[SAPSA Number]],Table1[SAPSA number],Table1[Name])</f>
        <v>Kathleen Beresford</v>
      </c>
      <c r="E15" s="39" t="str">
        <f>_xlfn.XLOOKUP(__xlnm._FilterDatabase_1515[[#This Row],[SAPSA Number]],Table1[SAPSA number],Table1[Surname])</f>
        <v>Carter</v>
      </c>
      <c r="F15" s="28" t="str">
        <f>_xlfn.XLOOKUP(__xlnm._FilterDatabase_1515[[#This Row],[SAPSA Number]],Table1[SAPSA number],Table1[Initials])</f>
        <v>KB</v>
      </c>
      <c r="G15" s="17" t="str">
        <f>_xlfn.XLOOKUP(__xlnm._FilterDatabase_1515[[#This Row],[SAPSA Number]],Table1[SAPSA number],Table1[Gender])</f>
        <v>Lady</v>
      </c>
      <c r="H15" s="19" t="e">
        <f>_xlfn.XLOOKUP(__xlnm._FilterDatabase_1515[[#This Row],[SAPSA Number]],#REF!,#REF!)</f>
        <v>#REF!</v>
      </c>
      <c r="I15" s="19" t="s">
        <v>236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3"/>
        <v>5</v>
      </c>
      <c r="B16" s="25">
        <v>4316</v>
      </c>
      <c r="C16" s="25" t="str">
        <f>_xlfn.XLOOKUP(__xlnm._FilterDatabase_1515[[#This Row],[SAPSA Number]],Table1[SAPSA number],Table1[Paid up])</f>
        <v>Y</v>
      </c>
      <c r="D16" s="39" t="str">
        <f>_xlfn.XLOOKUP(__xlnm._FilterDatabase_1515[[#This Row],[SAPSA Number]],Table1[SAPSA number],Table1[Name])</f>
        <v>Wilhelm Jacobus</v>
      </c>
      <c r="E16" s="39" t="str">
        <f>_xlfn.XLOOKUP(__xlnm._FilterDatabase_1515[[#This Row],[SAPSA Number]],Table1[SAPSA number],Table1[Surname])</f>
        <v>Coetzee</v>
      </c>
      <c r="F16" s="28" t="str">
        <f>_xlfn.XLOOKUP(__xlnm._FilterDatabase_1515[[#This Row],[SAPSA Number]],Table1[SAPSA number],Table1[Initials])</f>
        <v>WJ</v>
      </c>
      <c r="G16" s="17" t="str">
        <f ca="1">_xlfn.XLOOKUP(__xlnm._FilterDatabase_1515[[#This Row],[SAPSA Number]],Table1[SAPSA number],Table1[Gender])</f>
        <v>S</v>
      </c>
      <c r="H16" s="19" t="e">
        <f>_xlfn.XLOOKUP(__xlnm._FilterDatabase_1515[[#This Row],[SAPSA Number]],#REF!,#REF!)</f>
        <v>#REF!</v>
      </c>
      <c r="I16" s="19" t="s">
        <v>236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3"/>
        <v>5</v>
      </c>
      <c r="B17" s="25">
        <v>591</v>
      </c>
      <c r="C17" s="25" t="str">
        <f>_xlfn.XLOOKUP(__xlnm._FilterDatabase_1515[[#This Row],[SAPSA Number]],Table1[SAPSA number],Table1[Paid up])</f>
        <v>Y</v>
      </c>
      <c r="D17" s="39" t="str">
        <f>_xlfn.XLOOKUP(__xlnm._FilterDatabase_1515[[#This Row],[SAPSA Number]],Table1[SAPSA number],Table1[Name])</f>
        <v>Enrico</v>
      </c>
      <c r="E17" s="39" t="str">
        <f>_xlfn.XLOOKUP(__xlnm._FilterDatabase_1515[[#This Row],[SAPSA Number]],Table1[SAPSA number],Table1[Surname])</f>
        <v>Cupido</v>
      </c>
      <c r="F17" s="28" t="str">
        <f>_xlfn.XLOOKUP(__xlnm._FilterDatabase_1515[[#This Row],[SAPSA Number]],Table1[SAPSA number],Table1[Initials])</f>
        <v>E</v>
      </c>
      <c r="G17" s="17" t="str">
        <f ca="1">_xlfn.XLOOKUP(__xlnm._FilterDatabase_1515[[#This Row],[SAPSA Number]],Table1[SAPSA number],Table1[Gender])</f>
        <v>GS</v>
      </c>
      <c r="H17" s="19" t="e">
        <f>_xlfn.XLOOKUP(__xlnm._FilterDatabase_1515[[#This Row],[SAPSA Number]],#REF!,#REF!)</f>
        <v>#REF!</v>
      </c>
      <c r="I17" s="19" t="s">
        <v>236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3"/>
        <v>5</v>
      </c>
      <c r="B18" s="40">
        <v>601</v>
      </c>
      <c r="C18" s="25" t="str">
        <f>_xlfn.XLOOKUP(__xlnm._FilterDatabase_1515[[#This Row],[SAPSA Number]],Table1[SAPSA number],Table1[Paid up])</f>
        <v>Y</v>
      </c>
      <c r="D18" s="39" t="str">
        <f>_xlfn.XLOOKUP(__xlnm._FilterDatabase_1515[[#This Row],[SAPSA Number]],Table1[SAPSA number],Table1[Name])</f>
        <v>Piero</v>
      </c>
      <c r="E18" s="39" t="str">
        <f>_xlfn.XLOOKUP(__xlnm._FilterDatabase_1515[[#This Row],[SAPSA Number]],Table1[SAPSA number],Table1[Surname])</f>
        <v>Cupido</v>
      </c>
      <c r="F18" s="28" t="str">
        <f>_xlfn.XLOOKUP(__xlnm._FilterDatabase_1515[[#This Row],[SAPSA Number]],Table1[SAPSA number],Table1[Initials])</f>
        <v>P</v>
      </c>
      <c r="G18" s="17" t="str">
        <f ca="1">_xlfn.XLOOKUP(__xlnm._FilterDatabase_1515[[#This Row],[SAPSA Number]],Table1[SAPSA number],Table1[Gender])</f>
        <v xml:space="preserve"> </v>
      </c>
      <c r="H18" s="19" t="e">
        <f>_xlfn.XLOOKUP(__xlnm._FilterDatabase_1515[[#This Row],[SAPSA Number]],#REF!,#REF!)</f>
        <v>#REF!</v>
      </c>
      <c r="I18" s="19" t="s">
        <v>236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3"/>
        <v>5</v>
      </c>
      <c r="B19" s="25">
        <v>288</v>
      </c>
      <c r="C19" s="25" t="str">
        <f>_xlfn.XLOOKUP(__xlnm._FilterDatabase_1515[[#This Row],[SAPSA Number]],Table1[SAPSA number],Table1[Paid up])</f>
        <v>Y</v>
      </c>
      <c r="D19" s="39" t="str">
        <f>_xlfn.XLOOKUP(__xlnm._FilterDatabase_1515[[#This Row],[SAPSA Number]],Table1[SAPSA number],Table1[Name])</f>
        <v>Feroz</v>
      </c>
      <c r="E19" s="39" t="str">
        <f>_xlfn.XLOOKUP(__xlnm._FilterDatabase_1515[[#This Row],[SAPSA Number]],Table1[SAPSA number],Table1[Surname])</f>
        <v>Daya</v>
      </c>
      <c r="F19" s="28" t="str">
        <f>_xlfn.XLOOKUP(__xlnm._FilterDatabase_1515[[#This Row],[SAPSA Number]],Table1[SAPSA number],Table1[Initials])</f>
        <v>F</v>
      </c>
      <c r="G19" s="17" t="str">
        <f ca="1">_xlfn.XLOOKUP(__xlnm._FilterDatabase_1515[[#This Row],[SAPSA Number]],Table1[SAPSA number],Table1[Gender])</f>
        <v>S</v>
      </c>
      <c r="H19" s="19" t="e">
        <f>_xlfn.XLOOKUP(__xlnm._FilterDatabase_1515[[#This Row],[SAPSA Number]],#REF!,#REF!)</f>
        <v>#REF!</v>
      </c>
      <c r="I19" s="19" t="s">
        <v>236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3"/>
        <v>5</v>
      </c>
      <c r="B20" s="25">
        <v>6846</v>
      </c>
      <c r="C20" s="25">
        <f>_xlfn.XLOOKUP(__xlnm._FilterDatabase_1515[[#This Row],[SAPSA Number]],Table1[SAPSA number],Table1[Paid up])</f>
        <v>0</v>
      </c>
      <c r="D20" s="39" t="str">
        <f>_xlfn.XLOOKUP(__xlnm._FilterDatabase_1515[[#This Row],[SAPSA Number]],Table1[SAPSA number],Table1[Name])</f>
        <v>Daniel Stephanus Jacobus</v>
      </c>
      <c r="E20" s="39" t="str">
        <f>_xlfn.XLOOKUP(__xlnm._FilterDatabase_1515[[#This Row],[SAPSA Number]],Table1[SAPSA number],Table1[Surname])</f>
        <v>Dreyer</v>
      </c>
      <c r="F20" s="28" t="str">
        <f>_xlfn.XLOOKUP(__xlnm._FilterDatabase_1515[[#This Row],[SAPSA Number]],Table1[SAPSA number],Table1[Initials])</f>
        <v>DSJ</v>
      </c>
      <c r="G20" s="17" t="str">
        <f ca="1">_xlfn.XLOOKUP(__xlnm._FilterDatabase_1515[[#This Row],[SAPSA Number]],Table1[SAPSA number],Table1[Gender])</f>
        <v xml:space="preserve"> </v>
      </c>
      <c r="H20" s="19" t="e">
        <f>_xlfn.XLOOKUP(__xlnm._FilterDatabase_1515[[#This Row],[SAPSA Number]],#REF!,#REF!)</f>
        <v>#REF!</v>
      </c>
      <c r="I20" s="19" t="s">
        <v>236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3"/>
        <v>5</v>
      </c>
      <c r="B21" s="86">
        <v>392</v>
      </c>
      <c r="C21" s="25" t="str">
        <f>_xlfn.XLOOKUP(__xlnm._FilterDatabase_1515[[#This Row],[SAPSA Number]],Table1[SAPSA number],Table1[Paid up])</f>
        <v>Y</v>
      </c>
      <c r="D21" s="39" t="str">
        <f>_xlfn.XLOOKUP(__xlnm._FilterDatabase_1515[[#This Row],[SAPSA Number]],Table1[SAPSA number],Table1[Name])</f>
        <v>Sasha-Lee</v>
      </c>
      <c r="E21" s="39" t="str">
        <f>_xlfn.XLOOKUP(__xlnm._FilterDatabase_1515[[#This Row],[SAPSA Number]],Table1[SAPSA number],Table1[Surname])</f>
        <v>Du Plessis</v>
      </c>
      <c r="F21" s="28" t="str">
        <f>_xlfn.XLOOKUP(__xlnm._FilterDatabase_1515[[#This Row],[SAPSA Number]],Table1[SAPSA number],Table1[Initials])</f>
        <v>SL</v>
      </c>
      <c r="G21" s="17" t="str">
        <f>_xlfn.XLOOKUP(__xlnm._FilterDatabase_1515[[#This Row],[SAPSA Number]],Table1[SAPSA number],Table1[Gender])</f>
        <v>Lady</v>
      </c>
      <c r="H21" s="19" t="e">
        <f>_xlfn.XLOOKUP(__xlnm._FilterDatabase_1515[[#This Row],[SAPSA Number]],#REF!,#REF!)</f>
        <v>#REF!</v>
      </c>
      <c r="I21" s="19" t="s">
        <v>236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3"/>
        <v>5</v>
      </c>
      <c r="B22" s="87">
        <v>127</v>
      </c>
      <c r="C22" s="25" t="str">
        <f>_xlfn.XLOOKUP(__xlnm._FilterDatabase_1515[[#This Row],[SAPSA Number]],Table1[SAPSA number],Table1[Paid up])</f>
        <v>Y</v>
      </c>
      <c r="D22" s="39" t="str">
        <f>_xlfn.XLOOKUP(__xlnm._FilterDatabase_1515[[#This Row],[SAPSA Number]],Table1[SAPSA number],Table1[Name])</f>
        <v>Eurika Susara</v>
      </c>
      <c r="E22" s="39" t="str">
        <f>_xlfn.XLOOKUP(__xlnm._FilterDatabase_1515[[#This Row],[SAPSA Number]],Table1[SAPSA number],Table1[Surname])</f>
        <v>Du Plooy</v>
      </c>
      <c r="F22" s="28" t="str">
        <f>_xlfn.XLOOKUP(__xlnm._FilterDatabase_1515[[#This Row],[SAPSA Number]],Table1[SAPSA number],Table1[Initials])</f>
        <v>E</v>
      </c>
      <c r="G22" s="17" t="str">
        <f>_xlfn.XLOOKUP(__xlnm._FilterDatabase_1515[[#This Row],[SAPSA Number]],Table1[SAPSA number],Table1[Gender])</f>
        <v>SS</v>
      </c>
      <c r="H22" s="19" t="e">
        <f>_xlfn.XLOOKUP(__xlnm._FilterDatabase_1515[[#This Row],[SAPSA Number]],#REF!,#REF!)</f>
        <v>#REF!</v>
      </c>
      <c r="I22" s="19" t="s">
        <v>236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3"/>
        <v>5</v>
      </c>
      <c r="B23" s="25">
        <v>393</v>
      </c>
      <c r="C23" s="25" t="str">
        <f>_xlfn.XLOOKUP(__xlnm._FilterDatabase_1515[[#This Row],[SAPSA Number]],Table1[SAPSA number],Table1[Paid up])</f>
        <v>Y</v>
      </c>
      <c r="D23" s="39" t="str">
        <f>_xlfn.XLOOKUP(__xlnm._FilterDatabase_1515[[#This Row],[SAPSA Number]],Table1[SAPSA number],Table1[Name])</f>
        <v>Robyn Angela</v>
      </c>
      <c r="E23" s="39" t="str">
        <f>_xlfn.XLOOKUP(__xlnm._FilterDatabase_1515[[#This Row],[SAPSA Number]],Table1[SAPSA number],Table1[Surname])</f>
        <v>Evans</v>
      </c>
      <c r="F23" s="28" t="str">
        <f>_xlfn.XLOOKUP(__xlnm._FilterDatabase_1515[[#This Row],[SAPSA Number]],Table1[SAPSA number],Table1[Initials])</f>
        <v>RA</v>
      </c>
      <c r="G23" s="17" t="str">
        <f>_xlfn.XLOOKUP(__xlnm._FilterDatabase_1515[[#This Row],[SAPSA Number]],Table1[SAPSA number],Table1[Gender])</f>
        <v>Lady</v>
      </c>
      <c r="H23" s="19" t="e">
        <f>_xlfn.XLOOKUP(__xlnm._FilterDatabase_1515[[#This Row],[SAPSA Number]],#REF!,#REF!)</f>
        <v>#REF!</v>
      </c>
      <c r="I23" s="19" t="s">
        <v>236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3"/>
        <v>5</v>
      </c>
      <c r="B24" s="25">
        <v>3172</v>
      </c>
      <c r="C24" s="25" t="str">
        <f>_xlfn.XLOOKUP(__xlnm._FilterDatabase_1515[[#This Row],[SAPSA Number]],Table1[SAPSA number],Table1[Paid up])</f>
        <v>Y</v>
      </c>
      <c r="D24" s="39" t="str">
        <f>_xlfn.XLOOKUP(__xlnm._FilterDatabase_1515[[#This Row],[SAPSA Number]],Table1[SAPSA number],Table1[Name])</f>
        <v>Mervyn-John</v>
      </c>
      <c r="E24" s="39" t="str">
        <f>_xlfn.XLOOKUP(__xlnm._FilterDatabase_1515[[#This Row],[SAPSA Number]],Table1[SAPSA number],Table1[Surname])</f>
        <v>Evans</v>
      </c>
      <c r="F24" s="28" t="str">
        <f>_xlfn.XLOOKUP(__xlnm._FilterDatabase_1515[[#This Row],[SAPSA Number]],Table1[SAPSA number],Table1[Initials])</f>
        <v>MJ</v>
      </c>
      <c r="G24" s="17" t="str">
        <f ca="1">_xlfn.XLOOKUP(__xlnm._FilterDatabase_1515[[#This Row],[SAPSA Number]],Table1[SAPSA number],Table1[Gender])</f>
        <v>SS</v>
      </c>
      <c r="H24" s="19" t="e">
        <f>_xlfn.XLOOKUP(__xlnm._FilterDatabase_1515[[#This Row],[SAPSA Number]],#REF!,#REF!)</f>
        <v>#REF!</v>
      </c>
      <c r="I24" s="19" t="s">
        <v>236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3"/>
        <v>5</v>
      </c>
      <c r="B25" s="25">
        <v>3173</v>
      </c>
      <c r="C25" s="25" t="str">
        <f>_xlfn.XLOOKUP(__xlnm._FilterDatabase_1515[[#This Row],[SAPSA Number]],Table1[SAPSA number],Table1[Paid up])</f>
        <v>Y</v>
      </c>
      <c r="D25" s="39" t="str">
        <f>_xlfn.XLOOKUP(__xlnm._FilterDatabase_1515[[#This Row],[SAPSA Number]],Table1[SAPSA number],Table1[Name])</f>
        <v>Garrett-John</v>
      </c>
      <c r="E25" s="39" t="str">
        <f>_xlfn.XLOOKUP(__xlnm._FilterDatabase_1515[[#This Row],[SAPSA Number]],Table1[SAPSA number],Table1[Surname])</f>
        <v>Evans</v>
      </c>
      <c r="F25" s="28" t="str">
        <f>_xlfn.XLOOKUP(__xlnm._FilterDatabase_1515[[#This Row],[SAPSA Number]],Table1[SAPSA number],Table1[Initials])</f>
        <v>G-J</v>
      </c>
      <c r="G25" s="17" t="str">
        <f ca="1">_xlfn.XLOOKUP(__xlnm._FilterDatabase_1515[[#This Row],[SAPSA Number]],Table1[SAPSA number],Table1[Gender])</f>
        <v xml:space="preserve"> </v>
      </c>
      <c r="H25" s="19" t="e">
        <f>_xlfn.XLOOKUP(__xlnm._FilterDatabase_1515[[#This Row],[SAPSA Number]],#REF!,#REF!)</f>
        <v>#REF!</v>
      </c>
      <c r="I25" s="19" t="s">
        <v>236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3"/>
        <v>5</v>
      </c>
      <c r="B26" s="25">
        <v>7434</v>
      </c>
      <c r="C26" s="25">
        <f>_xlfn.XLOOKUP(__xlnm._FilterDatabase_1515[[#This Row],[SAPSA Number]],Table1[SAPSA number],Table1[Paid up])</f>
        <v>0</v>
      </c>
      <c r="D26" s="39" t="str">
        <f>_xlfn.XLOOKUP(__xlnm._FilterDatabase_1515[[#This Row],[SAPSA Number]],Table1[SAPSA number],Table1[Name])</f>
        <v>Shannon Kimberley</v>
      </c>
      <c r="E26" s="39" t="str">
        <f>_xlfn.XLOOKUP(__xlnm._FilterDatabase_1515[[#This Row],[SAPSA Number]],Table1[SAPSA number],Table1[Surname])</f>
        <v>Gahagan</v>
      </c>
      <c r="F26" s="28" t="str">
        <f>_xlfn.XLOOKUP(__xlnm._FilterDatabase_1515[[#This Row],[SAPSA Number]],Table1[SAPSA number],Table1[Initials])</f>
        <v>S</v>
      </c>
      <c r="G26" s="17" t="str">
        <f>_xlfn.XLOOKUP(__xlnm._FilterDatabase_1515[[#This Row],[SAPSA Number]],Table1[SAPSA number],Table1[Gender])</f>
        <v>Lady</v>
      </c>
      <c r="H26" s="19" t="e">
        <f>_xlfn.XLOOKUP(__xlnm._FilterDatabase_1515[[#This Row],[SAPSA Number]],#REF!,#REF!)</f>
        <v>#REF!</v>
      </c>
      <c r="I26" s="19" t="s">
        <v>236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3"/>
        <v>5</v>
      </c>
      <c r="B27" s="25">
        <v>3782</v>
      </c>
      <c r="C27" s="25">
        <f>_xlfn.XLOOKUP(__xlnm._FilterDatabase_1515[[#This Row],[SAPSA Number]],Table1[SAPSA number],Table1[Paid up])</f>
        <v>0</v>
      </c>
      <c r="D27" s="39" t="str">
        <f>_xlfn.XLOOKUP(__xlnm._FilterDatabase_1515[[#This Row],[SAPSA Number]],Table1[SAPSA number],Table1[Name])</f>
        <v>Gary Athol</v>
      </c>
      <c r="E27" s="39" t="str">
        <f>_xlfn.XLOOKUP(__xlnm._FilterDatabase_1515[[#This Row],[SAPSA Number]],Table1[SAPSA number],Table1[Surname])</f>
        <v>Hagemann</v>
      </c>
      <c r="F27" s="28" t="str">
        <f>_xlfn.XLOOKUP(__xlnm._FilterDatabase_1515[[#This Row],[SAPSA Number]],Table1[SAPSA number],Table1[Initials])</f>
        <v>GA</v>
      </c>
      <c r="G27" s="17" t="str">
        <f ca="1">_xlfn.XLOOKUP(__xlnm._FilterDatabase_1515[[#This Row],[SAPSA Number]],Table1[SAPSA number],Table1[Gender])</f>
        <v>S</v>
      </c>
      <c r="H27" s="19" t="e">
        <f>_xlfn.XLOOKUP(__xlnm._FilterDatabase_1515[[#This Row],[SAPSA Number]],#REF!,#REF!)</f>
        <v>#REF!</v>
      </c>
      <c r="I27" s="19" t="s">
        <v>236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3"/>
        <v>5</v>
      </c>
      <c r="B28" s="25">
        <v>6308</v>
      </c>
      <c r="C28" s="25">
        <f>_xlfn.XLOOKUP(__xlnm._FilterDatabase_1515[[#This Row],[SAPSA Number]],Table1[SAPSA number],Table1[Paid up])</f>
        <v>0</v>
      </c>
      <c r="D28" s="39" t="str">
        <f>_xlfn.XLOOKUP(__xlnm._FilterDatabase_1515[[#This Row],[SAPSA Number]],Table1[SAPSA number],Table1[Name])</f>
        <v>James Matthew</v>
      </c>
      <c r="E28" s="39" t="str">
        <f>_xlfn.XLOOKUP(__xlnm._FilterDatabase_1515[[#This Row],[SAPSA Number]],Table1[SAPSA number],Table1[Surname])</f>
        <v>Hagemann</v>
      </c>
      <c r="F28" s="28" t="str">
        <f>_xlfn.XLOOKUP(__xlnm._FilterDatabase_1515[[#This Row],[SAPSA Number]],Table1[SAPSA number],Table1[Initials])</f>
        <v>JM</v>
      </c>
      <c r="G28" s="17" t="str">
        <f ca="1">_xlfn.XLOOKUP(__xlnm._FilterDatabase_1515[[#This Row],[SAPSA Number]],Table1[SAPSA number],Table1[Gender])</f>
        <v>Jnr</v>
      </c>
      <c r="H28" s="19" t="e">
        <f>_xlfn.XLOOKUP(__xlnm._FilterDatabase_1515[[#This Row],[SAPSA Number]],#REF!,#REF!)</f>
        <v>#REF!</v>
      </c>
      <c r="I28" s="19" t="s">
        <v>236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3"/>
        <v>5</v>
      </c>
      <c r="B29" s="40">
        <v>7328</v>
      </c>
      <c r="C29" s="25" t="str">
        <f>_xlfn.XLOOKUP(__xlnm._FilterDatabase_1515[[#This Row],[SAPSA Number]],Table1[SAPSA number],Table1[Paid up])</f>
        <v>Y</v>
      </c>
      <c r="D29" s="39" t="str">
        <f>_xlfn.XLOOKUP(__xlnm._FilterDatabase_1515[[#This Row],[SAPSA Number]],Table1[SAPSA number],Table1[Name])</f>
        <v>Sizwe</v>
      </c>
      <c r="E29" s="39" t="str">
        <f>_xlfn.XLOOKUP(__xlnm._FilterDatabase_1515[[#This Row],[SAPSA Number]],Table1[SAPSA number],Table1[Surname])</f>
        <v>Hlongwane</v>
      </c>
      <c r="F29" s="28" t="str">
        <f>_xlfn.XLOOKUP(__xlnm._FilterDatabase_1515[[#This Row],[SAPSA Number]],Table1[SAPSA number],Table1[Initials])</f>
        <v>S</v>
      </c>
      <c r="G29" s="17" t="str">
        <f ca="1">_xlfn.XLOOKUP(__xlnm._FilterDatabase_1515[[#This Row],[SAPSA Number]],Table1[SAPSA number],Table1[Gender])</f>
        <v xml:space="preserve"> </v>
      </c>
      <c r="H29" s="19" t="e">
        <f>_xlfn.XLOOKUP(__xlnm._FilterDatabase_1515[[#This Row],[SAPSA Number]],#REF!,#REF!)</f>
        <v>#REF!</v>
      </c>
      <c r="I29" s="19" t="s">
        <v>236</v>
      </c>
      <c r="J29" s="21">
        <f t="shared" si="1"/>
        <v>0</v>
      </c>
      <c r="K29" s="22">
        <f t="shared" si="2"/>
        <v>0</v>
      </c>
      <c r="L29" s="79">
        <v>0</v>
      </c>
      <c r="M29" s="80">
        <v>0</v>
      </c>
      <c r="N29" s="79">
        <v>0</v>
      </c>
      <c r="O29" s="80">
        <v>0</v>
      </c>
      <c r="P29" s="79">
        <v>0</v>
      </c>
      <c r="Q29" s="80">
        <v>0</v>
      </c>
      <c r="R29" s="79">
        <v>0</v>
      </c>
      <c r="S29" s="80">
        <v>0</v>
      </c>
      <c r="T29" s="79">
        <v>0</v>
      </c>
      <c r="U29" s="80">
        <v>0</v>
      </c>
      <c r="V29" s="79">
        <v>0</v>
      </c>
      <c r="W29" s="80">
        <v>0</v>
      </c>
    </row>
    <row r="30" spans="1:23" ht="14.4" customHeight="1" x14ac:dyDescent="0.3">
      <c r="A30" s="17">
        <f t="shared" si="3"/>
        <v>5</v>
      </c>
      <c r="B30" s="18">
        <v>7271</v>
      </c>
      <c r="C30" s="25" t="str">
        <f>_xlfn.XLOOKUP(__xlnm._FilterDatabase_1515[[#This Row],[SAPSA Number]],Table1[SAPSA number],Table1[Paid up])</f>
        <v>Y</v>
      </c>
      <c r="D30" s="39" t="str">
        <f>_xlfn.XLOOKUP(__xlnm._FilterDatabase_1515[[#This Row],[SAPSA Number]],Table1[SAPSA number],Table1[Name])</f>
        <v>Johan</v>
      </c>
      <c r="E30" s="39" t="str">
        <f>_xlfn.XLOOKUP(__xlnm._FilterDatabase_1515[[#This Row],[SAPSA Number]],Table1[SAPSA number],Table1[Surname])</f>
        <v>Jacobs</v>
      </c>
      <c r="F30" s="28" t="str">
        <f>_xlfn.XLOOKUP(__xlnm._FilterDatabase_1515[[#This Row],[SAPSA Number]],Table1[SAPSA number],Table1[Initials])</f>
        <v>J</v>
      </c>
      <c r="G30" s="17" t="str">
        <f ca="1">_xlfn.XLOOKUP(__xlnm._FilterDatabase_1515[[#This Row],[SAPSA Number]],Table1[SAPSA number],Table1[Gender])</f>
        <v xml:space="preserve"> </v>
      </c>
      <c r="H30" s="19" t="e">
        <f>_xlfn.XLOOKUP(__xlnm._FilterDatabase_1515[[#This Row],[SAPSA Number]],#REF!,#REF!)</f>
        <v>#REF!</v>
      </c>
      <c r="I30" s="19" t="s">
        <v>236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5</v>
      </c>
      <c r="B31" s="25">
        <v>2655</v>
      </c>
      <c r="C31" s="25" t="str">
        <f>_xlfn.XLOOKUP(__xlnm._FilterDatabase_1515[[#This Row],[SAPSA Number]],Table1[SAPSA number],Table1[Paid up])</f>
        <v>Y</v>
      </c>
      <c r="D31" s="39" t="str">
        <f>_xlfn.XLOOKUP(__xlnm._FilterDatabase_1515[[#This Row],[SAPSA Number]],Table1[SAPSA number],Table1[Name])</f>
        <v>Ruben</v>
      </c>
      <c r="E31" s="39" t="str">
        <f>_xlfn.XLOOKUP(__xlnm._FilterDatabase_1515[[#This Row],[SAPSA Number]],Table1[SAPSA number],Table1[Surname])</f>
        <v>Joubert</v>
      </c>
      <c r="F31" s="28" t="str">
        <f>_xlfn.XLOOKUP(__xlnm._FilterDatabase_1515[[#This Row],[SAPSA Number]],Table1[SAPSA number],Table1[Initials])</f>
        <v>R</v>
      </c>
      <c r="G31" s="17" t="str">
        <f ca="1">_xlfn.XLOOKUP(__xlnm._FilterDatabase_1515[[#This Row],[SAPSA Number]],Table1[SAPSA number],Table1[Gender])</f>
        <v>Jnr</v>
      </c>
      <c r="H31" s="19" t="e">
        <f>_xlfn.XLOOKUP(__xlnm._FilterDatabase_1515[[#This Row],[SAPSA Number]],#REF!,#REF!)</f>
        <v>#REF!</v>
      </c>
      <c r="I31" s="19" t="s">
        <v>236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5</v>
      </c>
      <c r="B32" s="18">
        <v>3339</v>
      </c>
      <c r="C32" s="25" t="str">
        <f>_xlfn.XLOOKUP(__xlnm._FilterDatabase_1515[[#This Row],[SAPSA Number]],Table1[SAPSA number],Table1[Paid up])</f>
        <v>Y</v>
      </c>
      <c r="D32" s="39" t="str">
        <f>_xlfn.XLOOKUP(__xlnm._FilterDatabase_1515[[#This Row],[SAPSA Number]],Table1[SAPSA number],Table1[Name])</f>
        <v>Hendrik Johannes</v>
      </c>
      <c r="E32" s="39" t="str">
        <f>_xlfn.XLOOKUP(__xlnm._FilterDatabase_1515[[#This Row],[SAPSA Number]],Table1[SAPSA number],Table1[Surname])</f>
        <v>Joubert</v>
      </c>
      <c r="F32" s="28" t="str">
        <f>_xlfn.XLOOKUP(__xlnm._FilterDatabase_1515[[#This Row],[SAPSA Number]],Table1[SAPSA number],Table1[Initials])</f>
        <v>HJ</v>
      </c>
      <c r="G32" s="17" t="str">
        <f ca="1">_xlfn.XLOOKUP(__xlnm._FilterDatabase_1515[[#This Row],[SAPSA Number]],Table1[SAPSA number],Table1[Gender])</f>
        <v>S</v>
      </c>
      <c r="H32" s="19" t="e">
        <f>_xlfn.XLOOKUP(__xlnm._FilterDatabase_1515[[#This Row],[SAPSA Number]],#REF!,#REF!)</f>
        <v>#REF!</v>
      </c>
      <c r="I32" s="19" t="s">
        <v>236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3"/>
        <v>5</v>
      </c>
      <c r="B33" s="25">
        <v>4094</v>
      </c>
      <c r="C33" s="25" t="str">
        <f>_xlfn.XLOOKUP(__xlnm._FilterDatabase_1515[[#This Row],[SAPSA Number]],Table1[SAPSA number],Table1[Paid up])</f>
        <v>Y</v>
      </c>
      <c r="D33" s="39" t="str">
        <f>_xlfn.XLOOKUP(__xlnm._FilterDatabase_1515[[#This Row],[SAPSA Number]],Table1[SAPSA number],Table1[Name])</f>
        <v>Johan</v>
      </c>
      <c r="E33" s="39" t="str">
        <f>_xlfn.XLOOKUP(__xlnm._FilterDatabase_1515[[#This Row],[SAPSA Number]],Table1[SAPSA number],Table1[Surname])</f>
        <v>Kemp</v>
      </c>
      <c r="F33" s="28" t="str">
        <f>_xlfn.XLOOKUP(__xlnm._FilterDatabase_1515[[#This Row],[SAPSA Number]],Table1[SAPSA number],Table1[Initials])</f>
        <v>J</v>
      </c>
      <c r="G33" s="17" t="str">
        <f ca="1">_xlfn.XLOOKUP(__xlnm._FilterDatabase_1515[[#This Row],[SAPSA Number]],Table1[SAPSA number],Table1[Gender])</f>
        <v xml:space="preserve"> </v>
      </c>
      <c r="H33" s="19" t="e">
        <f>_xlfn.XLOOKUP(__xlnm._FilterDatabase_1515[[#This Row],[SAPSA Number]],#REF!,#REF!)</f>
        <v>#REF!</v>
      </c>
      <c r="I33" s="19" t="s">
        <v>236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3"/>
        <v>5</v>
      </c>
      <c r="B34" s="25">
        <v>6968</v>
      </c>
      <c r="C34" s="25" t="str">
        <f>_xlfn.XLOOKUP(__xlnm._FilterDatabase_1515[[#This Row],[SAPSA Number]],Table1[SAPSA number],Table1[Paid up])</f>
        <v>Y</v>
      </c>
      <c r="D34" s="39" t="str">
        <f>_xlfn.XLOOKUP(__xlnm._FilterDatabase_1515[[#This Row],[SAPSA Number]],Table1[SAPSA number],Table1[Name])</f>
        <v>Ian John</v>
      </c>
      <c r="E34" s="39" t="str">
        <f>_xlfn.XLOOKUP(__xlnm._FilterDatabase_1515[[#This Row],[SAPSA Number]],Table1[SAPSA number],Table1[Surname])</f>
        <v>Kewley</v>
      </c>
      <c r="F34" s="28" t="str">
        <f>_xlfn.XLOOKUP(__xlnm._FilterDatabase_1515[[#This Row],[SAPSA Number]],Table1[SAPSA number],Table1[Initials])</f>
        <v>IJ</v>
      </c>
      <c r="G34" s="17" t="str">
        <f ca="1">_xlfn.XLOOKUP(__xlnm._FilterDatabase_1515[[#This Row],[SAPSA Number]],Table1[SAPSA number],Table1[Gender])</f>
        <v xml:space="preserve"> </v>
      </c>
      <c r="H34" s="19" t="e">
        <f>_xlfn.XLOOKUP(__xlnm._FilterDatabase_1515[[#This Row],[SAPSA Number]],#REF!,#REF!)</f>
        <v>#REF!</v>
      </c>
      <c r="I34" s="19" t="s">
        <v>236</v>
      </c>
      <c r="J34" s="21">
        <f t="shared" ref="J34:J66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(LARGE(L34:U34,1)+LARGE(L34:U34,2)+LARGE(L34:U34,3)+LARGE(L34:U34,4)+LARGE(L34:U34,5))/5</f>
        <v>0</v>
      </c>
      <c r="L34" s="79">
        <v>0</v>
      </c>
      <c r="M34" s="80">
        <v>0</v>
      </c>
      <c r="N34" s="79">
        <v>0</v>
      </c>
      <c r="O34" s="80">
        <v>0</v>
      </c>
      <c r="P34" s="79">
        <v>0</v>
      </c>
      <c r="Q34" s="80">
        <v>0</v>
      </c>
      <c r="R34" s="79">
        <v>0</v>
      </c>
      <c r="S34" s="80">
        <v>0</v>
      </c>
      <c r="T34" s="79">
        <v>0</v>
      </c>
      <c r="U34" s="80">
        <v>0</v>
      </c>
      <c r="V34" s="79">
        <v>0</v>
      </c>
      <c r="W34" s="80">
        <v>0</v>
      </c>
    </row>
    <row r="35" spans="1:23" ht="14.4" customHeight="1" x14ac:dyDescent="0.3">
      <c r="A35" s="17">
        <f t="shared" si="3"/>
        <v>5</v>
      </c>
      <c r="B35" s="27">
        <v>7260</v>
      </c>
      <c r="C35" s="25">
        <f>_xlfn.XLOOKUP(__xlnm._FilterDatabase_1515[[#This Row],[SAPSA Number]],Table1[SAPSA number],Table1[Paid up])</f>
        <v>0</v>
      </c>
      <c r="D35" s="39" t="str">
        <f>_xlfn.XLOOKUP(__xlnm._FilterDatabase_1515[[#This Row],[SAPSA Number]],Table1[SAPSA number],Table1[Name])</f>
        <v>Glenn</v>
      </c>
      <c r="E35" s="39" t="str">
        <f>_xlfn.XLOOKUP(__xlnm._FilterDatabase_1515[[#This Row],[SAPSA Number]],Table1[SAPSA number],Table1[Surname])</f>
        <v>Kieser</v>
      </c>
      <c r="F35" s="28" t="str">
        <f>_xlfn.XLOOKUP(__xlnm._FilterDatabase_1515[[#This Row],[SAPSA Number]],Table1[SAPSA number],Table1[Initials])</f>
        <v>G</v>
      </c>
      <c r="G35" s="17" t="str">
        <f ca="1">_xlfn.XLOOKUP(__xlnm._FilterDatabase_1515[[#This Row],[SAPSA Number]],Table1[SAPSA number],Table1[Gender])</f>
        <v>SS</v>
      </c>
      <c r="H35" s="19" t="e">
        <f>_xlfn.XLOOKUP(__xlnm._FilterDatabase_1515[[#This Row],[SAPSA Number]],#REF!,#REF!)</f>
        <v>#REF!</v>
      </c>
      <c r="I35" s="19" t="s">
        <v>236</v>
      </c>
      <c r="J35" s="21">
        <f t="shared" si="4"/>
        <v>0</v>
      </c>
      <c r="K35" s="22">
        <f t="shared" si="5"/>
        <v>0</v>
      </c>
      <c r="L35" s="79">
        <v>0</v>
      </c>
      <c r="M35" s="80">
        <v>0</v>
      </c>
      <c r="N35" s="79">
        <v>0</v>
      </c>
      <c r="O35" s="80">
        <v>0</v>
      </c>
      <c r="P35" s="79">
        <v>0</v>
      </c>
      <c r="Q35" s="80">
        <v>0</v>
      </c>
      <c r="R35" s="79">
        <v>0</v>
      </c>
      <c r="S35" s="80">
        <v>0</v>
      </c>
      <c r="T35" s="79">
        <v>0</v>
      </c>
      <c r="U35" s="80">
        <v>0</v>
      </c>
      <c r="V35" s="79">
        <v>0</v>
      </c>
      <c r="W35" s="80">
        <v>0</v>
      </c>
    </row>
    <row r="36" spans="1:23" ht="14.4" customHeight="1" x14ac:dyDescent="0.3">
      <c r="A36" s="17">
        <f t="shared" si="3"/>
        <v>5</v>
      </c>
      <c r="B36" s="25">
        <v>252</v>
      </c>
      <c r="C36" s="25" t="str">
        <f>_xlfn.XLOOKUP(__xlnm._FilterDatabase_1515[[#This Row],[SAPSA Number]],Table1[SAPSA number],Table1[Paid up])</f>
        <v>Y</v>
      </c>
      <c r="D36" s="39" t="str">
        <f>_xlfn.XLOOKUP(__xlnm._FilterDatabase_1515[[#This Row],[SAPSA Number]],Table1[SAPSA number],Table1[Name])</f>
        <v>Deon</v>
      </c>
      <c r="E36" s="39" t="str">
        <f>_xlfn.XLOOKUP(__xlnm._FilterDatabase_1515[[#This Row],[SAPSA Number]],Table1[SAPSA number],Table1[Surname])</f>
        <v>Labuschagne</v>
      </c>
      <c r="F36" s="28" t="str">
        <f>_xlfn.XLOOKUP(__xlnm._FilterDatabase_1515[[#This Row],[SAPSA Number]],Table1[SAPSA number],Table1[Initials])</f>
        <v>D</v>
      </c>
      <c r="G36" s="17" t="str">
        <f ca="1">_xlfn.XLOOKUP(__xlnm._FilterDatabase_1515[[#This Row],[SAPSA Number]],Table1[SAPSA number],Table1[Gender])</f>
        <v>GS</v>
      </c>
      <c r="H36" s="19" t="e">
        <f>_xlfn.XLOOKUP(__xlnm._FilterDatabase_1515[[#This Row],[SAPSA Number]],#REF!,#REF!)</f>
        <v>#REF!</v>
      </c>
      <c r="I36" s="19" t="s">
        <v>236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5</v>
      </c>
      <c r="B37" s="18">
        <v>2651</v>
      </c>
      <c r="C37" s="25" t="str">
        <f>_xlfn.XLOOKUP(__xlnm._FilterDatabase_1515[[#This Row],[SAPSA Number]],Table1[SAPSA number],Table1[Paid up])</f>
        <v>Y</v>
      </c>
      <c r="D37" s="39" t="str">
        <f>_xlfn.XLOOKUP(__xlnm._FilterDatabase_1515[[#This Row],[SAPSA Number]],Table1[SAPSA number],Table1[Name])</f>
        <v>Paul Herman</v>
      </c>
      <c r="E37" s="39" t="str">
        <f>_xlfn.XLOOKUP(__xlnm._FilterDatabase_1515[[#This Row],[SAPSA Number]],Table1[SAPSA number],Table1[Surname])</f>
        <v>Leuschner</v>
      </c>
      <c r="F37" s="28" t="str">
        <f>_xlfn.XLOOKUP(__xlnm._FilterDatabase_1515[[#This Row],[SAPSA Number]],Table1[SAPSA number],Table1[Initials])</f>
        <v>PH</v>
      </c>
      <c r="G37" s="17" t="str">
        <f ca="1">_xlfn.XLOOKUP(__xlnm._FilterDatabase_1515[[#This Row],[SAPSA Number]],Table1[SAPSA number],Table1[Gender])</f>
        <v>S</v>
      </c>
      <c r="H37" s="19" t="e">
        <f>_xlfn.XLOOKUP(__xlnm._FilterDatabase_1515[[#This Row],[SAPSA Number]],#REF!,#REF!)</f>
        <v>#REF!</v>
      </c>
      <c r="I37" s="19" t="s">
        <v>236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5</v>
      </c>
      <c r="B38" s="25">
        <v>683</v>
      </c>
      <c r="C38" s="25">
        <f>_xlfn.XLOOKUP(__xlnm._FilterDatabase_1515[[#This Row],[SAPSA Number]],Table1[SAPSA number],Table1[Paid up])</f>
        <v>0</v>
      </c>
      <c r="D38" s="39" t="str">
        <f>_xlfn.XLOOKUP(__xlnm._FilterDatabase_1515[[#This Row],[SAPSA Number]],Table1[SAPSA number],Table1[Name])</f>
        <v>Ivor</v>
      </c>
      <c r="E38" s="39" t="str">
        <f>_xlfn.XLOOKUP(__xlnm._FilterDatabase_1515[[#This Row],[SAPSA Number]],Table1[SAPSA number],Table1[Surname])</f>
        <v>Marais</v>
      </c>
      <c r="F38" s="28" t="str">
        <f>_xlfn.XLOOKUP(__xlnm._FilterDatabase_1515[[#This Row],[SAPSA Number]],Table1[SAPSA number],Table1[Initials])</f>
        <v>I</v>
      </c>
      <c r="G38" s="17" t="str">
        <f ca="1">_xlfn.XLOOKUP(__xlnm._FilterDatabase_1515[[#This Row],[SAPSA Number]],Table1[SAPSA number],Table1[Gender])</f>
        <v>S</v>
      </c>
      <c r="H38" s="19" t="e">
        <f>_xlfn.XLOOKUP(__xlnm._FilterDatabase_1515[[#This Row],[SAPSA Number]],#REF!,#REF!)</f>
        <v>#REF!</v>
      </c>
      <c r="I38" s="19" t="s">
        <v>236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5</v>
      </c>
      <c r="B39" s="40">
        <v>4862</v>
      </c>
      <c r="C39" s="25" t="str">
        <f>_xlfn.XLOOKUP(__xlnm._FilterDatabase_1515[[#This Row],[SAPSA Number]],Table1[SAPSA number],Table1[Paid up])</f>
        <v>Y</v>
      </c>
      <c r="D39" s="39" t="str">
        <f>_xlfn.XLOOKUP(__xlnm._FilterDatabase_1515[[#This Row],[SAPSA Number]],Table1[SAPSA number],Table1[Name])</f>
        <v>George Keith</v>
      </c>
      <c r="E39" s="39" t="str">
        <f>_xlfn.XLOOKUP(__xlnm._FilterDatabase_1515[[#This Row],[SAPSA Number]],Table1[SAPSA number],Table1[Surname])</f>
        <v>Marais</v>
      </c>
      <c r="F39" s="28" t="str">
        <f>_xlfn.XLOOKUP(__xlnm._FilterDatabase_1515[[#This Row],[SAPSA Number]],Table1[SAPSA number],Table1[Initials])</f>
        <v>GK</v>
      </c>
      <c r="G39" s="17" t="str">
        <f ca="1">_xlfn.XLOOKUP(__xlnm._FilterDatabase_1515[[#This Row],[SAPSA Number]],Table1[SAPSA number],Table1[Gender])</f>
        <v>S</v>
      </c>
      <c r="H39" s="19" t="e">
        <f>_xlfn.XLOOKUP(__xlnm._FilterDatabase_1515[[#This Row],[SAPSA Number]],#REF!,#REF!)</f>
        <v>#REF!</v>
      </c>
      <c r="I39" s="19" t="s">
        <v>236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5</v>
      </c>
      <c r="B40" s="39">
        <v>6966</v>
      </c>
      <c r="C40" s="25" t="str">
        <f>_xlfn.XLOOKUP(__xlnm._FilterDatabase_1515[[#This Row],[SAPSA Number]],Table1[SAPSA number],Table1[Paid up])</f>
        <v>Y</v>
      </c>
      <c r="D40" s="39" t="str">
        <f>_xlfn.XLOOKUP(__xlnm._FilterDatabase_1515[[#This Row],[SAPSA Number]],Table1[SAPSA number],Table1[Name])</f>
        <v>James</v>
      </c>
      <c r="E40" s="39" t="str">
        <f>_xlfn.XLOOKUP(__xlnm._FilterDatabase_1515[[#This Row],[SAPSA Number]],Table1[SAPSA number],Table1[Surname])</f>
        <v>Masonganye</v>
      </c>
      <c r="F40" s="28" t="str">
        <f>_xlfn.XLOOKUP(__xlnm._FilterDatabase_1515[[#This Row],[SAPSA Number]],Table1[SAPSA number],Table1[Initials])</f>
        <v>J</v>
      </c>
      <c r="G40" s="17" t="str">
        <f ca="1">_xlfn.XLOOKUP(__xlnm._FilterDatabase_1515[[#This Row],[SAPSA Number]],Table1[SAPSA number],Table1[Gender])</f>
        <v>S</v>
      </c>
      <c r="H40" s="19" t="e">
        <f>_xlfn.XLOOKUP(__xlnm._FilterDatabase_1515[[#This Row],[SAPSA Number]],#REF!,#REF!)</f>
        <v>#REF!</v>
      </c>
      <c r="I40" s="19" t="s">
        <v>236</v>
      </c>
      <c r="J40" s="21">
        <f t="shared" si="4"/>
        <v>0</v>
      </c>
      <c r="K40" s="22">
        <f t="shared" si="5"/>
        <v>0</v>
      </c>
      <c r="L40" s="79">
        <v>0</v>
      </c>
      <c r="M40" s="80">
        <v>0</v>
      </c>
      <c r="N40" s="79">
        <v>0</v>
      </c>
      <c r="O40" s="80">
        <v>0</v>
      </c>
      <c r="P40" s="79">
        <v>0</v>
      </c>
      <c r="Q40" s="80">
        <v>0</v>
      </c>
      <c r="R40" s="79">
        <v>0</v>
      </c>
      <c r="S40" s="80">
        <v>0</v>
      </c>
      <c r="T40" s="79">
        <v>0</v>
      </c>
      <c r="U40" s="80">
        <v>0</v>
      </c>
      <c r="V40" s="79">
        <v>0</v>
      </c>
      <c r="W40" s="80">
        <v>0</v>
      </c>
    </row>
    <row r="41" spans="1:23" ht="14.4" customHeight="1" x14ac:dyDescent="0.3">
      <c r="A41" s="17">
        <f t="shared" si="3"/>
        <v>5</v>
      </c>
      <c r="B41" s="26">
        <v>7132</v>
      </c>
      <c r="C41" s="25" t="str">
        <f>_xlfn.XLOOKUP(__xlnm._FilterDatabase_1515[[#This Row],[SAPSA Number]],Table1[SAPSA number],Table1[Paid up])</f>
        <v>Y</v>
      </c>
      <c r="D41" s="39" t="str">
        <f>_xlfn.XLOOKUP(__xlnm._FilterDatabase_1515[[#This Row],[SAPSA Number]],Table1[SAPSA number],Table1[Name])</f>
        <v>Yussuf</v>
      </c>
      <c r="E41" s="39" t="str">
        <f>_xlfn.XLOOKUP(__xlnm._FilterDatabase_1515[[#This Row],[SAPSA Number]],Table1[SAPSA number],Table1[Surname])</f>
        <v>Mayet</v>
      </c>
      <c r="F41" s="28" t="str">
        <f>_xlfn.XLOOKUP(__xlnm._FilterDatabase_1515[[#This Row],[SAPSA Number]],Table1[SAPSA number],Table1[Initials])</f>
        <v>Y</v>
      </c>
      <c r="G41" s="17" t="str">
        <f ca="1">_xlfn.XLOOKUP(__xlnm._FilterDatabase_1515[[#This Row],[SAPSA Number]],Table1[SAPSA number],Table1[Gender])</f>
        <v>GS</v>
      </c>
      <c r="H41" s="19" t="e">
        <f>_xlfn.XLOOKUP(__xlnm._FilterDatabase_1515[[#This Row],[SAPSA Number]],#REF!,#REF!)</f>
        <v>#REF!</v>
      </c>
      <c r="I41" s="19" t="s">
        <v>236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 t="shared" si="3"/>
        <v>5</v>
      </c>
      <c r="B42" s="26">
        <v>851</v>
      </c>
      <c r="C42" s="25" t="str">
        <f>_xlfn.XLOOKUP(__xlnm._FilterDatabase_1515[[#This Row],[SAPSA Number]],Table1[SAPSA number],Table1[Paid up])</f>
        <v>Y</v>
      </c>
      <c r="D42" s="39" t="str">
        <f>_xlfn.XLOOKUP(__xlnm._FilterDatabase_1515[[#This Row],[SAPSA Number]],Table1[SAPSA number],Table1[Name])</f>
        <v>Ian David</v>
      </c>
      <c r="E42" s="39" t="str">
        <f>_xlfn.XLOOKUP(__xlnm._FilterDatabase_1515[[#This Row],[SAPSA Number]],Table1[SAPSA number],Table1[Surname])</f>
        <v>McLaren</v>
      </c>
      <c r="F42" s="28" t="str">
        <f>_xlfn.XLOOKUP(__xlnm._FilterDatabase_1515[[#This Row],[SAPSA Number]],Table1[SAPSA number],Table1[Initials])</f>
        <v>ID</v>
      </c>
      <c r="G42" s="17" t="str">
        <f ca="1">_xlfn.XLOOKUP(__xlnm._FilterDatabase_1515[[#This Row],[SAPSA Number]],Table1[SAPSA number],Table1[Gender])</f>
        <v>SS</v>
      </c>
      <c r="H42" s="19" t="e">
        <f>_xlfn.XLOOKUP(__xlnm._FilterDatabase_1515[[#This Row],[SAPSA Number]],#REF!,#REF!)</f>
        <v>#REF!</v>
      </c>
      <c r="I42" s="19" t="s">
        <v>236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ref="A43:A66" si="6">RANK(K43,K$2:K$139,0)</f>
        <v>5</v>
      </c>
      <c r="B43" s="39">
        <v>5200</v>
      </c>
      <c r="C43" s="25">
        <f>_xlfn.XLOOKUP(__xlnm._FilterDatabase_1515[[#This Row],[SAPSA Number]],Table1[SAPSA number],Table1[Paid up])</f>
        <v>0</v>
      </c>
      <c r="D43" s="39" t="str">
        <f>_xlfn.XLOOKUP(__xlnm._FilterDatabase_1515[[#This Row],[SAPSA Number]],Table1[SAPSA number],Table1[Name])</f>
        <v>Daniel</v>
      </c>
      <c r="E43" s="39" t="str">
        <f>_xlfn.XLOOKUP(__xlnm._FilterDatabase_1515[[#This Row],[SAPSA Number]],Table1[SAPSA number],Table1[Surname])</f>
        <v>McWilliam</v>
      </c>
      <c r="F43" s="28" t="str">
        <f>_xlfn.XLOOKUP(__xlnm._FilterDatabase_1515[[#This Row],[SAPSA Number]],Table1[SAPSA number],Table1[Initials])</f>
        <v>D</v>
      </c>
      <c r="G43" s="17" t="str">
        <f ca="1">_xlfn.XLOOKUP(__xlnm._FilterDatabase_1515[[#This Row],[SAPSA Number]],Table1[SAPSA number],Table1[Gender])</f>
        <v xml:space="preserve"> </v>
      </c>
      <c r="H43" s="19" t="e">
        <f>_xlfn.XLOOKUP(__xlnm._FilterDatabase_1515[[#This Row],[SAPSA Number]],#REF!,#REF!)</f>
        <v>#REF!</v>
      </c>
      <c r="I43" s="19" t="s">
        <v>236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6"/>
        <v>5</v>
      </c>
      <c r="B44" s="26">
        <v>1771</v>
      </c>
      <c r="C44" s="25" t="str">
        <f>_xlfn.XLOOKUP(__xlnm._FilterDatabase_1515[[#This Row],[SAPSA Number]],Table1[SAPSA number],Table1[Paid up])</f>
        <v>Y</v>
      </c>
      <c r="D44" s="39" t="str">
        <f>_xlfn.XLOOKUP(__xlnm._FilterDatabase_1515[[#This Row],[SAPSA Number]],Table1[SAPSA number],Table1[Name])</f>
        <v>Rodney Ralph</v>
      </c>
      <c r="E44" s="39" t="str">
        <f>_xlfn.XLOOKUP(__xlnm._FilterDatabase_1515[[#This Row],[SAPSA Number]],Table1[SAPSA number],Table1[Surname])</f>
        <v>Mills</v>
      </c>
      <c r="F44" s="28" t="str">
        <f>_xlfn.XLOOKUP(__xlnm._FilterDatabase_1515[[#This Row],[SAPSA Number]],Table1[SAPSA number],Table1[Initials])</f>
        <v>RR</v>
      </c>
      <c r="G44" s="17" t="str">
        <f ca="1">_xlfn.XLOOKUP(__xlnm._FilterDatabase_1515[[#This Row],[SAPSA Number]],Table1[SAPSA number],Table1[Gender])</f>
        <v>GS</v>
      </c>
      <c r="H44" s="19" t="e">
        <f>_xlfn.XLOOKUP(__xlnm._FilterDatabase_1515[[#This Row],[SAPSA Number]],#REF!,#REF!)</f>
        <v>#REF!</v>
      </c>
      <c r="I44" s="19" t="s">
        <v>236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6"/>
        <v>5</v>
      </c>
      <c r="B45" s="25">
        <v>1637</v>
      </c>
      <c r="C45" s="25">
        <f>_xlfn.XLOOKUP(__xlnm._FilterDatabase_1515[[#This Row],[SAPSA Number]],Table1[SAPSA number],Table1[Paid up])</f>
        <v>0</v>
      </c>
      <c r="D45" s="39" t="str">
        <f>_xlfn.XLOOKUP(__xlnm._FilterDatabase_1515[[#This Row],[SAPSA Number]],Table1[SAPSA number],Table1[Name])</f>
        <v>Andre Johann Pieter</v>
      </c>
      <c r="E45" s="39" t="str">
        <f>_xlfn.XLOOKUP(__xlnm._FilterDatabase_1515[[#This Row],[SAPSA Number]],Table1[SAPSA number],Table1[Surname])</f>
        <v>Mouton</v>
      </c>
      <c r="F45" s="28" t="str">
        <f>_xlfn.XLOOKUP(__xlnm._FilterDatabase_1515[[#This Row],[SAPSA Number]],Table1[SAPSA number],Table1[Initials])</f>
        <v>AJP</v>
      </c>
      <c r="G45" s="17" t="str">
        <f ca="1">_xlfn.XLOOKUP(__xlnm._FilterDatabase_1515[[#This Row],[SAPSA Number]],Table1[SAPSA number],Table1[Gender])</f>
        <v>GS</v>
      </c>
      <c r="H45" s="19" t="e">
        <f>_xlfn.XLOOKUP(__xlnm._FilterDatabase_1515[[#This Row],[SAPSA Number]],#REF!,#REF!)</f>
        <v>#REF!</v>
      </c>
      <c r="I45" s="19" t="s">
        <v>236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6"/>
        <v>5</v>
      </c>
      <c r="B46" s="40">
        <v>1777</v>
      </c>
      <c r="C46" s="25" t="str">
        <f>_xlfn.XLOOKUP(__xlnm._FilterDatabase_1515[[#This Row],[SAPSA Number]],Table1[SAPSA number],Table1[Paid up])</f>
        <v>Y</v>
      </c>
      <c r="D46" s="39" t="str">
        <f>_xlfn.XLOOKUP(__xlnm._FilterDatabase_1515[[#This Row],[SAPSA Number]],Table1[SAPSA number],Table1[Name])</f>
        <v xml:space="preserve">Leon </v>
      </c>
      <c r="E46" s="39" t="str">
        <f>_xlfn.XLOOKUP(__xlnm._FilterDatabase_1515[[#This Row],[SAPSA Number]],Table1[SAPSA number],Table1[Surname])</f>
        <v>Myburgh</v>
      </c>
      <c r="F46" s="28" t="str">
        <f>_xlfn.XLOOKUP(__xlnm._FilterDatabase_1515[[#This Row],[SAPSA Number]],Table1[SAPSA number],Table1[Initials])</f>
        <v>LC</v>
      </c>
      <c r="G46" s="17" t="str">
        <f ca="1">_xlfn.XLOOKUP(__xlnm._FilterDatabase_1515[[#This Row],[SAPSA Number]],Table1[SAPSA number],Table1[Gender])</f>
        <v>S</v>
      </c>
      <c r="H46" s="19" t="e">
        <f>_xlfn.XLOOKUP(__xlnm._FilterDatabase_1515[[#This Row],[SAPSA Number]],#REF!,#REF!)</f>
        <v>#REF!</v>
      </c>
      <c r="I46" s="19" t="s">
        <v>236</v>
      </c>
      <c r="J46" s="21">
        <f t="shared" si="4"/>
        <v>0</v>
      </c>
      <c r="K46" s="22">
        <f t="shared" si="5"/>
        <v>0</v>
      </c>
      <c r="L46" s="79">
        <v>0</v>
      </c>
      <c r="M46" s="80">
        <v>0</v>
      </c>
      <c r="N46" s="79">
        <v>0</v>
      </c>
      <c r="O46" s="80">
        <v>0</v>
      </c>
      <c r="P46" s="79">
        <v>0</v>
      </c>
      <c r="Q46" s="80">
        <v>0</v>
      </c>
      <c r="R46" s="79">
        <v>0</v>
      </c>
      <c r="S46" s="80">
        <v>0</v>
      </c>
      <c r="T46" s="79">
        <v>0</v>
      </c>
      <c r="U46" s="80">
        <v>0</v>
      </c>
      <c r="V46" s="79">
        <v>0</v>
      </c>
      <c r="W46" s="80">
        <v>0</v>
      </c>
    </row>
    <row r="47" spans="1:23" ht="14.4" customHeight="1" x14ac:dyDescent="0.3">
      <c r="A47" s="17">
        <f t="shared" si="6"/>
        <v>5</v>
      </c>
      <c r="B47" s="25">
        <v>5804</v>
      </c>
      <c r="C47" s="25" t="str">
        <f>_xlfn.XLOOKUP(__xlnm._FilterDatabase_1515[[#This Row],[SAPSA Number]],Table1[SAPSA number],Table1[Paid up])</f>
        <v>Y</v>
      </c>
      <c r="D47" s="39" t="str">
        <f>_xlfn.XLOOKUP(__xlnm._FilterDatabase_1515[[#This Row],[SAPSA Number]],Table1[SAPSA number],Table1[Name])</f>
        <v>Louis Johannes</v>
      </c>
      <c r="E47" s="39" t="str">
        <f>_xlfn.XLOOKUP(__xlnm._FilterDatabase_1515[[#This Row],[SAPSA Number]],Table1[SAPSA number],Table1[Surname])</f>
        <v>Nel</v>
      </c>
      <c r="F47" s="28" t="str">
        <f>_xlfn.XLOOKUP(__xlnm._FilterDatabase_1515[[#This Row],[SAPSA Number]],Table1[SAPSA number],Table1[Initials])</f>
        <v>LJ</v>
      </c>
      <c r="G47" s="17" t="str">
        <f ca="1">_xlfn.XLOOKUP(__xlnm._FilterDatabase_1515[[#This Row],[SAPSA Number]],Table1[SAPSA number],Table1[Gender])</f>
        <v xml:space="preserve"> </v>
      </c>
      <c r="H47" s="19" t="e">
        <f>_xlfn.XLOOKUP(__xlnm._FilterDatabase_1515[[#This Row],[SAPSA Number]],#REF!,#REF!)</f>
        <v>#REF!</v>
      </c>
      <c r="I47" s="19" t="s">
        <v>236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3">
      <c r="A48" s="17">
        <f t="shared" si="6"/>
        <v>5</v>
      </c>
      <c r="B48" s="25">
        <v>250</v>
      </c>
      <c r="C48" s="25">
        <f>_xlfn.XLOOKUP(__xlnm._FilterDatabase_1515[[#This Row],[SAPSA Number]],Table1[SAPSA number],Table1[Paid up])</f>
        <v>0</v>
      </c>
      <c r="D48" s="39" t="str">
        <f>_xlfn.XLOOKUP(__xlnm._FilterDatabase_1515[[#This Row],[SAPSA Number]],Table1[SAPSA number],Table1[Name])</f>
        <v>Adriano Walter</v>
      </c>
      <c r="E48" s="39" t="str">
        <f>_xlfn.XLOOKUP(__xlnm._FilterDatabase_1515[[#This Row],[SAPSA Number]],Table1[SAPSA number],Table1[Surname])</f>
        <v>Paschini</v>
      </c>
      <c r="F48" s="28" t="str">
        <f>_xlfn.XLOOKUP(__xlnm._FilterDatabase_1515[[#This Row],[SAPSA Number]],Table1[SAPSA number],Table1[Initials])</f>
        <v>AW</v>
      </c>
      <c r="G48" s="17" t="str">
        <f ca="1">_xlfn.XLOOKUP(__xlnm._FilterDatabase_1515[[#This Row],[SAPSA Number]],Table1[SAPSA number],Table1[Gender])</f>
        <v>SS</v>
      </c>
      <c r="H48" s="19" t="e">
        <f>_xlfn.XLOOKUP(__xlnm._FilterDatabase_1515[[#This Row],[SAPSA Number]],#REF!,#REF!)</f>
        <v>#REF!</v>
      </c>
      <c r="I48" s="19" t="s">
        <v>236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6"/>
        <v>5</v>
      </c>
      <c r="B49" s="25">
        <v>6633</v>
      </c>
      <c r="C49" s="25">
        <f>_xlfn.XLOOKUP(__xlnm._FilterDatabase_1515[[#This Row],[SAPSA Number]],Table1[SAPSA number],Table1[Paid up])</f>
        <v>0</v>
      </c>
      <c r="D49" s="39" t="str">
        <f>_xlfn.XLOOKUP(__xlnm._FilterDatabase_1515[[#This Row],[SAPSA Number]],Table1[SAPSA number],Table1[Name])</f>
        <v>Allessandro Raffaele</v>
      </c>
      <c r="E49" s="39" t="str">
        <f>_xlfn.XLOOKUP(__xlnm._FilterDatabase_1515[[#This Row],[SAPSA Number]],Table1[SAPSA number],Table1[Surname])</f>
        <v>Paschini</v>
      </c>
      <c r="F49" s="28" t="str">
        <f>_xlfn.XLOOKUP(__xlnm._FilterDatabase_1515[[#This Row],[SAPSA Number]],Table1[SAPSA number],Table1[Initials])</f>
        <v>AR</v>
      </c>
      <c r="G49" s="17" t="str">
        <f ca="1">_xlfn.XLOOKUP(__xlnm._FilterDatabase_1515[[#This Row],[SAPSA Number]],Table1[SAPSA number],Table1[Gender])</f>
        <v xml:space="preserve"> </v>
      </c>
      <c r="H49" s="19" t="e">
        <f>_xlfn.XLOOKUP(__xlnm._FilterDatabase_1515[[#This Row],[SAPSA Number]],#REF!,#REF!)</f>
        <v>#REF!</v>
      </c>
      <c r="I49" s="19" t="s">
        <v>236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6"/>
        <v>5</v>
      </c>
      <c r="B50" s="25">
        <v>7478</v>
      </c>
      <c r="C50" s="25">
        <f>_xlfn.XLOOKUP(__xlnm._FilterDatabase_1515[[#This Row],[SAPSA Number]],Table1[SAPSA number],Table1[Paid up])</f>
        <v>0</v>
      </c>
      <c r="D50" s="39" t="str">
        <f>_xlfn.XLOOKUP(__xlnm._FilterDatabase_1515[[#This Row],[SAPSA Number]],Table1[SAPSA number],Table1[Name])</f>
        <v>Annemarie</v>
      </c>
      <c r="E50" s="39" t="str">
        <f>_xlfn.XLOOKUP(__xlnm._FilterDatabase_1515[[#This Row],[SAPSA Number]],Table1[SAPSA number],Table1[Surname])</f>
        <v>Pienaar</v>
      </c>
      <c r="F50" s="28" t="str">
        <f>_xlfn.XLOOKUP(__xlnm._FilterDatabase_1515[[#This Row],[SAPSA Number]],Table1[SAPSA number],Table1[Initials])</f>
        <v>A</v>
      </c>
      <c r="G50" s="17" t="str">
        <f>_xlfn.XLOOKUP(__xlnm._FilterDatabase_1515[[#This Row],[SAPSA Number]],Table1[SAPSA number],Table1[Gender])</f>
        <v>Lady</v>
      </c>
      <c r="H50" s="19" t="e">
        <f>_xlfn.XLOOKUP(__xlnm._FilterDatabase_1515[[#This Row],[SAPSA Number]],#REF!,#REF!)</f>
        <v>#REF!</v>
      </c>
      <c r="I50" s="19" t="s">
        <v>236</v>
      </c>
      <c r="J50" s="21">
        <f t="shared" si="4"/>
        <v>0</v>
      </c>
      <c r="K50" s="22">
        <f t="shared" si="5"/>
        <v>0</v>
      </c>
      <c r="L50" s="79">
        <v>0</v>
      </c>
      <c r="M50" s="80">
        <v>0</v>
      </c>
      <c r="N50" s="79">
        <v>0</v>
      </c>
      <c r="O50" s="80">
        <v>0</v>
      </c>
      <c r="P50" s="79">
        <v>0</v>
      </c>
      <c r="Q50" s="80">
        <v>0</v>
      </c>
      <c r="R50" s="79">
        <v>0</v>
      </c>
      <c r="S50" s="80">
        <v>0</v>
      </c>
      <c r="T50" s="79">
        <v>0</v>
      </c>
      <c r="U50" s="80">
        <v>0</v>
      </c>
      <c r="V50" s="79">
        <v>0</v>
      </c>
      <c r="W50" s="80">
        <v>0</v>
      </c>
    </row>
    <row r="51" spans="1:23" ht="14.4" customHeight="1" x14ac:dyDescent="0.3">
      <c r="A51" s="17">
        <f t="shared" si="6"/>
        <v>5</v>
      </c>
      <c r="B51" s="25">
        <v>2950</v>
      </c>
      <c r="C51" s="25">
        <f>_xlfn.XLOOKUP(__xlnm._FilterDatabase_1515[[#This Row],[SAPSA Number]],Table1[SAPSA number],Table1[Paid up])</f>
        <v>0</v>
      </c>
      <c r="D51" s="39" t="str">
        <f>_xlfn.XLOOKUP(__xlnm._FilterDatabase_1515[[#This Row],[SAPSA Number]],Table1[SAPSA number],Table1[Name])</f>
        <v>Renier Jansen</v>
      </c>
      <c r="E51" s="39" t="str">
        <f>_xlfn.XLOOKUP(__xlnm._FilterDatabase_1515[[#This Row],[SAPSA Number]],Table1[SAPSA number],Table1[Surname])</f>
        <v>Reynders</v>
      </c>
      <c r="F51" s="28" t="str">
        <f>_xlfn.XLOOKUP(__xlnm._FilterDatabase_1515[[#This Row],[SAPSA Number]],Table1[SAPSA number],Table1[Initials])</f>
        <v>RJ</v>
      </c>
      <c r="G51" s="17" t="str">
        <f ca="1">_xlfn.XLOOKUP(__xlnm._FilterDatabase_1515[[#This Row],[SAPSA Number]],Table1[SAPSA number],Table1[Gender])</f>
        <v xml:space="preserve"> </v>
      </c>
      <c r="H51" s="19" t="e">
        <f>_xlfn.XLOOKUP(__xlnm._FilterDatabase_1515[[#This Row],[SAPSA Number]],#REF!,#REF!)</f>
        <v>#REF!</v>
      </c>
      <c r="I51" s="19" t="s">
        <v>236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6"/>
        <v>5</v>
      </c>
      <c r="B52" s="25">
        <v>1929</v>
      </c>
      <c r="C52" s="25">
        <f>_xlfn.XLOOKUP(__xlnm._FilterDatabase_1515[[#This Row],[SAPSA Number]],Table1[SAPSA number],Table1[Paid up])</f>
        <v>0</v>
      </c>
      <c r="D52" s="39" t="str">
        <f>_xlfn.XLOOKUP(__xlnm._FilterDatabase_1515[[#This Row],[SAPSA Number]],Table1[SAPSA number],Table1[Name])</f>
        <v>Chris</v>
      </c>
      <c r="E52" s="39" t="str">
        <f>_xlfn.XLOOKUP(__xlnm._FilterDatabase_1515[[#This Row],[SAPSA Number]],Table1[SAPSA number],Table1[Surname])</f>
        <v>Ridout</v>
      </c>
      <c r="F52" s="28" t="str">
        <f>_xlfn.XLOOKUP(__xlnm._FilterDatabase_1515[[#This Row],[SAPSA Number]],Table1[SAPSA number],Table1[Initials])</f>
        <v>CJ</v>
      </c>
      <c r="G52" s="17" t="str">
        <f ca="1">_xlfn.XLOOKUP(__xlnm._FilterDatabase_1515[[#This Row],[SAPSA Number]],Table1[SAPSA number],Table1[Gender])</f>
        <v xml:space="preserve"> </v>
      </c>
      <c r="H52" s="19" t="e">
        <f>_xlfn.XLOOKUP(__xlnm._FilterDatabase_1515[[#This Row],[SAPSA Number]],#REF!,#REF!)</f>
        <v>#REF!</v>
      </c>
      <c r="I52" s="19" t="s">
        <v>236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6"/>
        <v>5</v>
      </c>
      <c r="B53" s="25">
        <v>3822</v>
      </c>
      <c r="C53" s="25" t="str">
        <f>_xlfn.XLOOKUP(__xlnm._FilterDatabase_1515[[#This Row],[SAPSA Number]],Table1[SAPSA number],Table1[Paid up])</f>
        <v>Y</v>
      </c>
      <c r="D53" s="39" t="str">
        <f>_xlfn.XLOOKUP(__xlnm._FilterDatabase_1515[[#This Row],[SAPSA Number]],Table1[SAPSA number],Table1[Name])</f>
        <v>Wayne Erald</v>
      </c>
      <c r="E53" s="39" t="str">
        <f>_xlfn.XLOOKUP(__xlnm._FilterDatabase_1515[[#This Row],[SAPSA Number]],Table1[SAPSA number],Table1[Surname])</f>
        <v>Schmidt</v>
      </c>
      <c r="F53" s="28" t="str">
        <f>_xlfn.XLOOKUP(__xlnm._FilterDatabase_1515[[#This Row],[SAPSA Number]],Table1[SAPSA number],Table1[Initials])</f>
        <v>WE</v>
      </c>
      <c r="G53" s="17" t="str">
        <f ca="1">_xlfn.XLOOKUP(__xlnm._FilterDatabase_1515[[#This Row],[SAPSA Number]],Table1[SAPSA number],Table1[Gender])</f>
        <v>S</v>
      </c>
      <c r="H53" s="19" t="e">
        <f>_xlfn.XLOOKUP(__xlnm._FilterDatabase_1515[[#This Row],[SAPSA Number]],#REF!,#REF!)</f>
        <v>#REF!</v>
      </c>
      <c r="I53" s="19" t="s">
        <v>236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6"/>
        <v>5</v>
      </c>
      <c r="B54" s="25">
        <v>4966</v>
      </c>
      <c r="C54" s="25" t="str">
        <f>_xlfn.XLOOKUP(__xlnm._FilterDatabase_1515[[#This Row],[SAPSA Number]],Table1[SAPSA number],Table1[Paid up])</f>
        <v>Y</v>
      </c>
      <c r="D54" s="39" t="str">
        <f>_xlfn.XLOOKUP(__xlnm._FilterDatabase_1515[[#This Row],[SAPSA Number]],Table1[SAPSA number],Table1[Name])</f>
        <v>Costantinos</v>
      </c>
      <c r="E54" s="39" t="str">
        <f>_xlfn.XLOOKUP(__xlnm._FilterDatabase_1515[[#This Row],[SAPSA Number]],Table1[SAPSA number],Table1[Surname])</f>
        <v>Seindis</v>
      </c>
      <c r="F54" s="28" t="str">
        <f>_xlfn.XLOOKUP(__xlnm._FilterDatabase_1515[[#This Row],[SAPSA Number]],Table1[SAPSA number],Table1[Initials])</f>
        <v>C</v>
      </c>
      <c r="G54" s="17" t="str">
        <f ca="1">_xlfn.XLOOKUP(__xlnm._FilterDatabase_1515[[#This Row],[SAPSA Number]],Table1[SAPSA number],Table1[Gender])</f>
        <v xml:space="preserve"> </v>
      </c>
      <c r="H54" s="19" t="e">
        <f>_xlfn.XLOOKUP(__xlnm._FilterDatabase_1515[[#This Row],[SAPSA Number]],#REF!,#REF!)</f>
        <v>#REF!</v>
      </c>
      <c r="I54" s="19" t="s">
        <v>236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6"/>
        <v>5</v>
      </c>
      <c r="B55" s="25">
        <v>3832</v>
      </c>
      <c r="C55" s="25" t="str">
        <f>_xlfn.XLOOKUP(__xlnm._FilterDatabase_1515[[#This Row],[SAPSA Number]],Table1[SAPSA number],Table1[Paid up])</f>
        <v>Y</v>
      </c>
      <c r="D55" s="39" t="str">
        <f>_xlfn.XLOOKUP(__xlnm._FilterDatabase_1515[[#This Row],[SAPSA Number]],Table1[SAPSA number],Table1[Name])</f>
        <v>Dion Rowlands</v>
      </c>
      <c r="E55" s="39" t="str">
        <f>_xlfn.XLOOKUP(__xlnm._FilterDatabase_1515[[#This Row],[SAPSA Number]],Table1[SAPSA number],Table1[Surname])</f>
        <v>Stead</v>
      </c>
      <c r="F55" s="28" t="str">
        <f>_xlfn.XLOOKUP(__xlnm._FilterDatabase_1515[[#This Row],[SAPSA Number]],Table1[SAPSA number],Table1[Initials])</f>
        <v>DR</v>
      </c>
      <c r="G55" s="17" t="str">
        <f ca="1">_xlfn.XLOOKUP(__xlnm._FilterDatabase_1515[[#This Row],[SAPSA Number]],Table1[SAPSA number],Table1[Gender])</f>
        <v>S</v>
      </c>
      <c r="H55" s="19" t="e">
        <f>_xlfn.XLOOKUP(__xlnm._FilterDatabase_1515[[#This Row],[SAPSA Number]],#REF!,#REF!)</f>
        <v>#REF!</v>
      </c>
      <c r="I55" s="19" t="s">
        <v>236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6"/>
        <v>5</v>
      </c>
      <c r="B56" s="25">
        <v>4858</v>
      </c>
      <c r="C56" s="25" t="str">
        <f>_xlfn.XLOOKUP(__xlnm._FilterDatabase_1515[[#This Row],[SAPSA Number]],Table1[SAPSA number],Table1[Paid up])</f>
        <v>Y</v>
      </c>
      <c r="D56" s="39" t="str">
        <f>_xlfn.XLOOKUP(__xlnm._FilterDatabase_1515[[#This Row],[SAPSA Number]],Table1[SAPSA number],Table1[Name])</f>
        <v>Jacques</v>
      </c>
      <c r="E56" s="39" t="str">
        <f>_xlfn.XLOOKUP(__xlnm._FilterDatabase_1515[[#This Row],[SAPSA Number]],Table1[SAPSA number],Table1[Surname])</f>
        <v>Swanepoel</v>
      </c>
      <c r="F56" s="28" t="str">
        <f>_xlfn.XLOOKUP(__xlnm._FilterDatabase_1515[[#This Row],[SAPSA Number]],Table1[SAPSA number],Table1[Initials])</f>
        <v>J</v>
      </c>
      <c r="G56" s="17" t="str">
        <f ca="1">_xlfn.XLOOKUP(__xlnm._FilterDatabase_1515[[#This Row],[SAPSA Number]],Table1[SAPSA number],Table1[Gender])</f>
        <v xml:space="preserve"> </v>
      </c>
      <c r="H56" s="19" t="e">
        <f>_xlfn.XLOOKUP(__xlnm._FilterDatabase_1515[[#This Row],[SAPSA Number]],#REF!,#REF!)</f>
        <v>#REF!</v>
      </c>
      <c r="I56" s="19" t="s">
        <v>236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6"/>
        <v>5</v>
      </c>
      <c r="B57" s="25">
        <v>1113</v>
      </c>
      <c r="C57" s="25" t="str">
        <f>_xlfn.XLOOKUP(__xlnm._FilterDatabase_1515[[#This Row],[SAPSA Number]],Table1[SAPSA number],Table1[Paid up])</f>
        <v>Y</v>
      </c>
      <c r="D57" s="39" t="str">
        <f>_xlfn.XLOOKUP(__xlnm._FilterDatabase_1515[[#This Row],[SAPSA Number]],Table1[SAPSA number],Table1[Name])</f>
        <v>Frik</v>
      </c>
      <c r="E57" s="39" t="str">
        <f>_xlfn.XLOOKUP(__xlnm._FilterDatabase_1515[[#This Row],[SAPSA Number]],Table1[SAPSA number],Table1[Surname])</f>
        <v>Truter</v>
      </c>
      <c r="F57" s="28" t="str">
        <f>_xlfn.XLOOKUP(__xlnm._FilterDatabase_1515[[#This Row],[SAPSA Number]],Table1[SAPSA number],Table1[Initials])</f>
        <v>FC</v>
      </c>
      <c r="G57" s="17" t="str">
        <f ca="1">_xlfn.XLOOKUP(__xlnm._FilterDatabase_1515[[#This Row],[SAPSA Number]],Table1[SAPSA number],Table1[Gender])</f>
        <v>SS</v>
      </c>
      <c r="H57" s="19" t="e">
        <f>_xlfn.XLOOKUP(__xlnm._FilterDatabase_1515[[#This Row],[SAPSA Number]],#REF!,#REF!)</f>
        <v>#REF!</v>
      </c>
      <c r="I57" s="19" t="s">
        <v>236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6"/>
        <v>5</v>
      </c>
      <c r="B58" s="25">
        <v>1931</v>
      </c>
      <c r="C58" s="25">
        <f>_xlfn.XLOOKUP(__xlnm._FilterDatabase_1515[[#This Row],[SAPSA Number]],Table1[SAPSA number],Table1[Paid up])</f>
        <v>0</v>
      </c>
      <c r="D58" s="39" t="str">
        <f>_xlfn.XLOOKUP(__xlnm._FilterDatabase_1515[[#This Row],[SAPSA Number]],Table1[SAPSA number],Table1[Name])</f>
        <v>Sylvia</v>
      </c>
      <c r="E58" s="39" t="str">
        <f>_xlfn.XLOOKUP(__xlnm._FilterDatabase_1515[[#This Row],[SAPSA Number]],Table1[SAPSA number],Table1[Surname])</f>
        <v>Van der Neut</v>
      </c>
      <c r="F58" s="28" t="str">
        <f>_xlfn.XLOOKUP(__xlnm._FilterDatabase_1515[[#This Row],[SAPSA Number]],Table1[SAPSA number],Table1[Initials])</f>
        <v>S</v>
      </c>
      <c r="G58" s="17" t="str">
        <f>_xlfn.XLOOKUP(__xlnm._FilterDatabase_1515[[#This Row],[SAPSA Number]],Table1[SAPSA number],Table1[Gender])</f>
        <v>Lady</v>
      </c>
      <c r="H58" s="19" t="e">
        <f>_xlfn.XLOOKUP(__xlnm._FilterDatabase_1515[[#This Row],[SAPSA Number]],#REF!,#REF!)</f>
        <v>#REF!</v>
      </c>
      <c r="I58" s="19" t="s">
        <v>236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6"/>
        <v>5</v>
      </c>
      <c r="B59" s="25">
        <v>5616</v>
      </c>
      <c r="C59" s="25">
        <f>_xlfn.XLOOKUP(__xlnm._FilterDatabase_1515[[#This Row],[SAPSA Number]],Table1[SAPSA number],Table1[Paid up])</f>
        <v>0</v>
      </c>
      <c r="D59" s="39" t="str">
        <f>_xlfn.XLOOKUP(__xlnm._FilterDatabase_1515[[#This Row],[SAPSA Number]],Table1[SAPSA number],Table1[Name])</f>
        <v>Cornelis Herman</v>
      </c>
      <c r="E59" s="39" t="str">
        <f>_xlfn.XLOOKUP(__xlnm._FilterDatabase_1515[[#This Row],[SAPSA Number]],Table1[SAPSA number],Table1[Surname])</f>
        <v>van Driel</v>
      </c>
      <c r="F59" s="28" t="str">
        <f>_xlfn.XLOOKUP(__xlnm._FilterDatabase_1515[[#This Row],[SAPSA Number]],Table1[SAPSA number],Table1[Initials])</f>
        <v>CH</v>
      </c>
      <c r="G59" s="17" t="str">
        <f ca="1">_xlfn.XLOOKUP(__xlnm._FilterDatabase_1515[[#This Row],[SAPSA Number]],Table1[SAPSA number],Table1[Gender])</f>
        <v xml:space="preserve"> </v>
      </c>
      <c r="H59" s="19" t="e">
        <f>_xlfn.XLOOKUP(__xlnm._FilterDatabase_1515[[#This Row],[SAPSA Number]],#REF!,#REF!)</f>
        <v>#REF!</v>
      </c>
      <c r="I59" s="19" t="s">
        <v>236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6"/>
        <v>5</v>
      </c>
      <c r="B60" s="40">
        <v>6564</v>
      </c>
      <c r="C60" s="25" t="str">
        <f>_xlfn.XLOOKUP(__xlnm._FilterDatabase_1515[[#This Row],[SAPSA Number]],Table1[SAPSA number],Table1[Paid up])</f>
        <v>Y</v>
      </c>
      <c r="D60" s="39" t="str">
        <f>_xlfn.XLOOKUP(__xlnm._FilterDatabase_1515[[#This Row],[SAPSA Number]],Table1[SAPSA number],Table1[Name])</f>
        <v>Kwimton Schalk</v>
      </c>
      <c r="E60" s="39" t="str">
        <f>_xlfn.XLOOKUP(__xlnm._FilterDatabase_1515[[#This Row],[SAPSA Number]],Table1[SAPSA number],Table1[Surname])</f>
        <v>van Jaarsveld</v>
      </c>
      <c r="F60" s="28" t="str">
        <f>_xlfn.XLOOKUP(__xlnm._FilterDatabase_1515[[#This Row],[SAPSA Number]],Table1[SAPSA number],Table1[Initials])</f>
        <v>KS</v>
      </c>
      <c r="G60" s="17" t="str">
        <f ca="1">_xlfn.XLOOKUP(__xlnm._FilterDatabase_1515[[#This Row],[SAPSA Number]],Table1[SAPSA number],Table1[Gender])</f>
        <v xml:space="preserve"> </v>
      </c>
      <c r="H60" s="19" t="e">
        <f>_xlfn.XLOOKUP(__xlnm._FilterDatabase_1515[[#This Row],[SAPSA Number]],#REF!,#REF!)</f>
        <v>#REF!</v>
      </c>
      <c r="I60" s="19" t="s">
        <v>236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6"/>
        <v>5</v>
      </c>
      <c r="B61" s="25">
        <v>5262</v>
      </c>
      <c r="C61" s="25" t="str">
        <f>_xlfn.XLOOKUP(__xlnm._FilterDatabase_1515[[#This Row],[SAPSA Number]],Table1[SAPSA number],Table1[Paid up])</f>
        <v>Y</v>
      </c>
      <c r="D61" s="39" t="str">
        <f>_xlfn.XLOOKUP(__xlnm._FilterDatabase_1515[[#This Row],[SAPSA Number]],Table1[SAPSA number],Table1[Name])</f>
        <v>Andre</v>
      </c>
      <c r="E61" s="39" t="str">
        <f>_xlfn.XLOOKUP(__xlnm._FilterDatabase_1515[[#This Row],[SAPSA Number]],Table1[SAPSA number],Table1[Surname])</f>
        <v>van Rooyen</v>
      </c>
      <c r="F61" s="28" t="str">
        <f>_xlfn.XLOOKUP(__xlnm._FilterDatabase_1515[[#This Row],[SAPSA Number]],Table1[SAPSA number],Table1[Initials])</f>
        <v>A</v>
      </c>
      <c r="G61" s="17" t="str">
        <f ca="1">_xlfn.XLOOKUP(__xlnm._FilterDatabase_1515[[#This Row],[SAPSA Number]],Table1[SAPSA number],Table1[Gender])</f>
        <v xml:space="preserve"> </v>
      </c>
      <c r="H61" s="19" t="e">
        <f>_xlfn.XLOOKUP(__xlnm._FilterDatabase_1515[[#This Row],[SAPSA Number]],#REF!,#REF!)</f>
        <v>#REF!</v>
      </c>
      <c r="I61" s="19" t="s">
        <v>236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6"/>
        <v>5</v>
      </c>
      <c r="B62" s="25">
        <v>5971</v>
      </c>
      <c r="C62" s="25">
        <f>_xlfn.XLOOKUP(__xlnm._FilterDatabase_1515[[#This Row],[SAPSA Number]],Table1[SAPSA number],Table1[Paid up])</f>
        <v>0</v>
      </c>
      <c r="D62" s="39" t="str">
        <f>_xlfn.XLOOKUP(__xlnm._FilterDatabase_1515[[#This Row],[SAPSA Number]],Table1[SAPSA number],Table1[Name])</f>
        <v>Hendrik</v>
      </c>
      <c r="E62" s="39" t="str">
        <f>_xlfn.XLOOKUP(__xlnm._FilterDatabase_1515[[#This Row],[SAPSA Number]],Table1[SAPSA number],Table1[Surname])</f>
        <v>van Rooyen</v>
      </c>
      <c r="F62" s="28" t="str">
        <f>_xlfn.XLOOKUP(__xlnm._FilterDatabase_1515[[#This Row],[SAPSA Number]],Table1[SAPSA number],Table1[Initials])</f>
        <v>H</v>
      </c>
      <c r="G62" s="17" t="str">
        <f ca="1">_xlfn.XLOOKUP(__xlnm._FilterDatabase_1515[[#This Row],[SAPSA Number]],Table1[SAPSA number],Table1[Gender])</f>
        <v>S</v>
      </c>
      <c r="H62" s="19" t="e">
        <f>_xlfn.XLOOKUP(__xlnm._FilterDatabase_1515[[#This Row],[SAPSA Number]],#REF!,#REF!)</f>
        <v>#REF!</v>
      </c>
      <c r="I62" s="19" t="s">
        <v>236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6"/>
        <v>5</v>
      </c>
      <c r="B63" s="25">
        <v>2089</v>
      </c>
      <c r="C63" s="25" t="str">
        <f>_xlfn.XLOOKUP(__xlnm._FilterDatabase_1515[[#This Row],[SAPSA Number]],Table1[SAPSA number],Table1[Paid up])</f>
        <v>Y</v>
      </c>
      <c r="D63" s="39" t="str">
        <f>_xlfn.XLOOKUP(__xlnm._FilterDatabase_1515[[#This Row],[SAPSA Number]],Table1[SAPSA number],Table1[Name])</f>
        <v>Doané</v>
      </c>
      <c r="E63" s="39" t="str">
        <f>_xlfn.XLOOKUP(__xlnm._FilterDatabase_1515[[#This Row],[SAPSA Number]],Table1[SAPSA number],Table1[Surname])</f>
        <v>Vermooten</v>
      </c>
      <c r="F63" s="28" t="str">
        <f>_xlfn.XLOOKUP(__xlnm._FilterDatabase_1515[[#This Row],[SAPSA Number]],Table1[SAPSA number],Table1[Initials])</f>
        <v>D</v>
      </c>
      <c r="G63" s="17" t="str">
        <f ca="1">_xlfn.XLOOKUP(__xlnm._FilterDatabase_1515[[#This Row],[SAPSA Number]],Table1[SAPSA number],Table1[Gender])</f>
        <v xml:space="preserve"> </v>
      </c>
      <c r="H63" s="19" t="e">
        <f>_xlfn.XLOOKUP(__xlnm._FilterDatabase_1515[[#This Row],[SAPSA Number]],#REF!,#REF!)</f>
        <v>#REF!</v>
      </c>
      <c r="I63" s="19" t="s">
        <v>236</v>
      </c>
      <c r="J63" s="21">
        <f t="shared" si="4"/>
        <v>0</v>
      </c>
      <c r="K63" s="22">
        <f t="shared" si="5"/>
        <v>0</v>
      </c>
      <c r="L63" s="79">
        <v>0</v>
      </c>
      <c r="M63" s="80">
        <v>0</v>
      </c>
      <c r="N63" s="79">
        <v>0</v>
      </c>
      <c r="O63" s="80">
        <v>0</v>
      </c>
      <c r="P63" s="79">
        <v>0</v>
      </c>
      <c r="Q63" s="80">
        <v>0</v>
      </c>
      <c r="R63" s="79">
        <v>0</v>
      </c>
      <c r="S63" s="80">
        <v>0</v>
      </c>
      <c r="T63" s="79">
        <v>0</v>
      </c>
      <c r="U63" s="80">
        <v>0</v>
      </c>
      <c r="V63" s="79">
        <v>0</v>
      </c>
      <c r="W63" s="80">
        <v>0</v>
      </c>
    </row>
    <row r="64" spans="1:23" ht="14.4" customHeight="1" x14ac:dyDescent="0.3">
      <c r="A64" s="17">
        <f t="shared" si="6"/>
        <v>5</v>
      </c>
      <c r="B64" s="26">
        <v>896</v>
      </c>
      <c r="C64" s="25" t="str">
        <f>_xlfn.XLOOKUP(__xlnm._FilterDatabase_1515[[#This Row],[SAPSA Number]],Table1[SAPSA number],Table1[Paid up])</f>
        <v>Y</v>
      </c>
      <c r="D64" s="39" t="str">
        <f>_xlfn.XLOOKUP(__xlnm._FilterDatabase_1515[[#This Row],[SAPSA Number]],Table1[SAPSA number],Table1[Name])</f>
        <v>Johannes Francois</v>
      </c>
      <c r="E64" s="39" t="str">
        <f>_xlfn.XLOOKUP(__xlnm._FilterDatabase_1515[[#This Row],[SAPSA Number]],Table1[SAPSA number],Table1[Surname])</f>
        <v>Wheeler</v>
      </c>
      <c r="F64" s="28" t="str">
        <f>_xlfn.XLOOKUP(__xlnm._FilterDatabase_1515[[#This Row],[SAPSA Number]],Table1[SAPSA number],Table1[Initials])</f>
        <v>JF</v>
      </c>
      <c r="G64" s="17" t="str">
        <f ca="1">_xlfn.XLOOKUP(__xlnm._FilterDatabase_1515[[#This Row],[SAPSA Number]],Table1[SAPSA number],Table1[Gender])</f>
        <v xml:space="preserve"> </v>
      </c>
      <c r="H64" s="19" t="e">
        <f>_xlfn.XLOOKUP(__xlnm._FilterDatabase_1515[[#This Row],[SAPSA Number]],#REF!,#REF!)</f>
        <v>#REF!</v>
      </c>
      <c r="I64" s="19" t="s">
        <v>236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 t="shared" si="6"/>
        <v>5</v>
      </c>
      <c r="B65" s="26">
        <v>1716</v>
      </c>
      <c r="C65" s="25" t="str">
        <f>_xlfn.XLOOKUP(__xlnm._FilterDatabase_1515[[#This Row],[SAPSA Number]],Table1[SAPSA number],Table1[Paid up])</f>
        <v>Y</v>
      </c>
      <c r="D65" s="39" t="str">
        <f>_xlfn.XLOOKUP(__xlnm._FilterDatabase_1515[[#This Row],[SAPSA Number]],Table1[SAPSA number],Table1[Name])</f>
        <v>Albert</v>
      </c>
      <c r="E65" s="39" t="str">
        <f>_xlfn.XLOOKUP(__xlnm._FilterDatabase_1515[[#This Row],[SAPSA Number]],Table1[SAPSA number],Table1[Surname])</f>
        <v>Wöcke</v>
      </c>
      <c r="F65" s="28" t="str">
        <f>_xlfn.XLOOKUP(__xlnm._FilterDatabase_1515[[#This Row],[SAPSA Number]],Table1[SAPSA number],Table1[Initials])</f>
        <v>A</v>
      </c>
      <c r="G65" s="17" t="str">
        <f ca="1">_xlfn.XLOOKUP(__xlnm._FilterDatabase_1515[[#This Row],[SAPSA Number]],Table1[SAPSA number],Table1[Gender])</f>
        <v>S</v>
      </c>
      <c r="H65" s="19" t="e">
        <f>_xlfn.XLOOKUP(__xlnm._FilterDatabase_1515[[#This Row],[SAPSA Number]],#REF!,#REF!)</f>
        <v>#REF!</v>
      </c>
      <c r="I65" s="19" t="s">
        <v>236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 t="shared" si="6"/>
        <v>5</v>
      </c>
      <c r="B66" s="26">
        <v>206</v>
      </c>
      <c r="C66" s="25">
        <f>_xlfn.XLOOKUP(__xlnm._FilterDatabase_1515[[#This Row],[SAPSA Number]],Table1[SAPSA number],Table1[Paid up])</f>
        <v>0</v>
      </c>
      <c r="D66" s="39" t="str">
        <f>_xlfn.XLOOKUP(__xlnm._FilterDatabase_1515[[#This Row],[SAPSA Number]],Table1[SAPSA number],Table1[Name])</f>
        <v>Pierre Dewald</v>
      </c>
      <c r="E66" s="39" t="str">
        <f>_xlfn.XLOOKUP(__xlnm._FilterDatabase_1515[[#This Row],[SAPSA Number]],Table1[SAPSA number],Table1[Surname])</f>
        <v>Wrogemann</v>
      </c>
      <c r="F66" s="28" t="str">
        <f>_xlfn.XLOOKUP(__xlnm._FilterDatabase_1515[[#This Row],[SAPSA Number]],Table1[SAPSA number],Table1[Initials])</f>
        <v>PD</v>
      </c>
      <c r="G66" s="17" t="str">
        <f ca="1">_xlfn.XLOOKUP(__xlnm._FilterDatabase_1515[[#This Row],[SAPSA Number]],Table1[SAPSA number],Table1[Gender])</f>
        <v>S</v>
      </c>
      <c r="H66" s="19" t="e">
        <f>_xlfn.XLOOKUP(__xlnm._FilterDatabase_1515[[#This Row],[SAPSA Number]],#REF!,#REF!)</f>
        <v>#REF!</v>
      </c>
      <c r="I66" s="19" t="s">
        <v>236</v>
      </c>
      <c r="J66" s="21">
        <f t="shared" si="4"/>
        <v>0</v>
      </c>
      <c r="K66" s="22">
        <f t="shared" ref="K66" si="7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>
        <f t="shared" ref="A67:A69" si="8">RANK(K67,K$2:K$139,0)</f>
        <v>5</v>
      </c>
      <c r="B67" s="26">
        <v>3810</v>
      </c>
      <c r="C67" s="25">
        <f>_xlfn.XLOOKUP(__xlnm._FilterDatabase_1515[[#This Row],[SAPSA Number]],Table1[SAPSA number],Table1[Paid up])</f>
        <v>0</v>
      </c>
      <c r="D67" s="39" t="str">
        <f>_xlfn.XLOOKUP(__xlnm._FilterDatabase_1515[[#This Row],[SAPSA Number]],Table1[SAPSA number],Table1[Name])</f>
        <v>Roelof</v>
      </c>
      <c r="E67" s="39" t="str">
        <f>_xlfn.XLOOKUP(__xlnm._FilterDatabase_1515[[#This Row],[SAPSA Number]],Table1[SAPSA number],Table1[Surname])</f>
        <v>Liebenberg</v>
      </c>
      <c r="F67" s="28" t="str">
        <f>_xlfn.XLOOKUP(__xlnm._FilterDatabase_1515[[#This Row],[SAPSA Number]],Table1[SAPSA number],Table1[Initials])</f>
        <v>R</v>
      </c>
      <c r="G67" s="17" t="str">
        <f ca="1">_xlfn.XLOOKUP(__xlnm._FilterDatabase_1515[[#This Row],[SAPSA Number]],Table1[SAPSA number],Table1[Gender])</f>
        <v>S</v>
      </c>
      <c r="H67" s="19" t="e">
        <f>_xlfn.XLOOKUP(__xlnm._FilterDatabase_1515[[#This Row],[SAPSA Number]],#REF!,#REF!)</f>
        <v>#REF!</v>
      </c>
      <c r="I67" s="19" t="s">
        <v>236</v>
      </c>
      <c r="J67" s="21">
        <f t="shared" ref="J67" si="9"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 t="shared" ref="K67" si="10">(LARGE(L67:U67,1)+LARGE(L67:U67,2)+LARGE(L67:U67,3)+LARGE(L67:U67,4)+LARGE(L67:U67,5))/5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>
        <f t="shared" si="8"/>
        <v>5</v>
      </c>
      <c r="B68" s="26">
        <v>401</v>
      </c>
      <c r="C68" s="25"/>
      <c r="D68" s="39" t="str">
        <f>_xlfn.XLOOKUP(__xlnm._FilterDatabase_1515[[#This Row],[SAPSA Number]],Table1[SAPSA number],Table1[Name])</f>
        <v>Sebella</v>
      </c>
      <c r="E68" s="39" t="str">
        <f>_xlfn.XLOOKUP(__xlnm._FilterDatabase_1515[[#This Row],[SAPSA Number]],Table1[SAPSA number],Table1[Surname])</f>
        <v>O'Donovan</v>
      </c>
      <c r="F68" s="28" t="str">
        <f>_xlfn.XLOOKUP(__xlnm._FilterDatabase_1515[[#This Row],[SAPSA Number]],Table1[SAPSA number],Table1[Initials])</f>
        <v>S</v>
      </c>
      <c r="G68" s="17" t="str">
        <f>_xlfn.XLOOKUP(__xlnm._FilterDatabase_1515[[#This Row],[SAPSA Number]],Table1[SAPSA number],Table1[Gender])</f>
        <v>Lady</v>
      </c>
      <c r="H68" s="19" t="e">
        <f>_xlfn.XLOOKUP(__xlnm._FilterDatabase_1515[[#This Row],[SAPSA Number]],#REF!,#REF!)</f>
        <v>#REF!</v>
      </c>
      <c r="I68" s="19" t="s">
        <v>236</v>
      </c>
      <c r="J68" s="21">
        <f t="shared" ref="J68:J69" si="11"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 t="shared" ref="K68:K69" si="12">(LARGE(L68:U68,1)+LARGE(L68:U68,2)+LARGE(L68:U68,3)+LARGE(L68:U68,4)+LARGE(L68:U68,5))/5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" customHeight="1" x14ac:dyDescent="0.3">
      <c r="A69" s="17">
        <f t="shared" si="8"/>
        <v>5</v>
      </c>
      <c r="B69" s="26">
        <v>1547</v>
      </c>
      <c r="C69" s="25"/>
      <c r="D69" s="39" t="str">
        <f>_xlfn.XLOOKUP(__xlnm._FilterDatabase_1515[[#This Row],[SAPSA Number]],Table1[SAPSA number],Table1[Name])</f>
        <v>Marius Frans</v>
      </c>
      <c r="E69" s="39" t="str">
        <f>_xlfn.XLOOKUP(__xlnm._FilterDatabase_1515[[#This Row],[SAPSA Number]],Table1[SAPSA number],Table1[Surname])</f>
        <v>van Biljon</v>
      </c>
      <c r="F69" s="28" t="str">
        <f>_xlfn.XLOOKUP(__xlnm._FilterDatabase_1515[[#This Row],[SAPSA Number]],Table1[SAPSA number],Table1[Initials])</f>
        <v>MF</v>
      </c>
      <c r="G69" s="17" t="str">
        <f ca="1">_xlfn.XLOOKUP(__xlnm._FilterDatabase_1515[[#This Row],[SAPSA Number]],Table1[SAPSA number],Table1[Gender])</f>
        <v>S</v>
      </c>
      <c r="H69" s="19" t="e">
        <f>_xlfn.XLOOKUP(__xlnm._FilterDatabase_1515[[#This Row],[SAPSA Number]],#REF!,#REF!)</f>
        <v>#REF!</v>
      </c>
      <c r="I69" s="19" t="s">
        <v>236</v>
      </c>
      <c r="J69" s="21">
        <f t="shared" si="11"/>
        <v>0</v>
      </c>
      <c r="K69" s="22">
        <f t="shared" si="12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ht="27.6" x14ac:dyDescent="0.3">
      <c r="A70" s="17">
        <f t="shared" ref="A70" si="13">RANK(K70,K$2:K$139,0)</f>
        <v>5</v>
      </c>
      <c r="B70" s="26">
        <v>3837</v>
      </c>
      <c r="C70" s="25"/>
      <c r="D70" s="39" t="str">
        <f>_xlfn.XLOOKUP(__xlnm._FilterDatabase_1515[[#This Row],[SAPSA Number]],Table1[SAPSA number],Table1[Name])</f>
        <v>Daneel</v>
      </c>
      <c r="E70" s="39" t="str">
        <f>_xlfn.XLOOKUP(__xlnm._FilterDatabase_1515[[#This Row],[SAPSA Number]],Table1[SAPSA number],Table1[Surname])</f>
        <v>van eck</v>
      </c>
      <c r="F70" s="28" t="str">
        <f>_xlfn.XLOOKUP(__xlnm._FilterDatabase_1515[[#This Row],[SAPSA Number]],Table1[SAPSA number],Table1[Initials])</f>
        <v>DJ</v>
      </c>
      <c r="G70" s="17" t="str">
        <f ca="1">_xlfn.XLOOKUP(__xlnm._FilterDatabase_1515[[#This Row],[SAPSA Number]],Table1[SAPSA number],Table1[Gender])</f>
        <v xml:space="preserve"> </v>
      </c>
      <c r="H70" s="19" t="e">
        <f>_xlfn.XLOOKUP(__xlnm._FilterDatabase_1515[[#This Row],[SAPSA Number]],#REF!,#REF!)</f>
        <v>#REF!</v>
      </c>
      <c r="I70" s="19" t="s">
        <v>236</v>
      </c>
      <c r="J70" s="21">
        <f t="shared" ref="J70" si="14"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 t="shared" ref="K70" si="15">(LARGE(L70:U70,1)+LARGE(L70:U70,2)+LARGE(L70:U70,3)+LARGE(L70:U70,4)+LARGE(L70:U70,5))/5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39"/>
      <c r="E71" s="39"/>
      <c r="F71" s="28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x14ac:dyDescent="0.3">
      <c r="A72" s="17"/>
      <c r="B72" s="26"/>
      <c r="C72" s="25"/>
      <c r="D72" s="39"/>
      <c r="E72" s="39"/>
      <c r="F72" s="28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17"/>
      <c r="B73" s="26"/>
      <c r="C73" s="25"/>
      <c r="D73" s="39"/>
      <c r="E73" s="39"/>
      <c r="F73" s="28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17"/>
      <c r="B74" s="39"/>
      <c r="C74" s="25"/>
      <c r="D74" s="39"/>
      <c r="E74" s="39"/>
      <c r="F74" s="28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17"/>
      <c r="B75" s="148"/>
      <c r="C75" s="25"/>
      <c r="D75" s="39"/>
      <c r="E75" s="39"/>
      <c r="F75" s="28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17"/>
      <c r="B76" s="25"/>
      <c r="C76" s="25"/>
      <c r="D76" s="39"/>
      <c r="E76" s="39"/>
      <c r="F76" s="28"/>
      <c r="G76" s="17"/>
      <c r="H76" s="19"/>
      <c r="I76" s="19"/>
      <c r="J76" s="21"/>
      <c r="K76" s="22"/>
      <c r="L76" s="79"/>
      <c r="M76" s="80"/>
      <c r="N76" s="79"/>
      <c r="O76" s="80"/>
      <c r="P76" s="79"/>
      <c r="Q76" s="80"/>
      <c r="R76" s="79"/>
      <c r="S76" s="80"/>
      <c r="T76" s="79"/>
      <c r="U76" s="80"/>
      <c r="V76" s="79"/>
      <c r="W76" s="80"/>
    </row>
    <row r="77" spans="1:23" x14ac:dyDescent="0.3">
      <c r="A77" s="17"/>
      <c r="B77" s="30"/>
      <c r="C77" s="25"/>
      <c r="D77" s="39"/>
      <c r="E77" s="39"/>
      <c r="F77" s="28"/>
      <c r="G77" s="17"/>
      <c r="H77" s="19"/>
      <c r="I77" s="19"/>
      <c r="J77" s="21"/>
      <c r="K77" s="22"/>
      <c r="L77" s="79"/>
      <c r="M77" s="80"/>
      <c r="N77" s="79"/>
      <c r="O77" s="80"/>
      <c r="P77" s="79"/>
      <c r="Q77" s="80"/>
      <c r="R77" s="79"/>
      <c r="S77" s="80"/>
      <c r="T77" s="79"/>
      <c r="U77" s="80"/>
      <c r="V77" s="79"/>
      <c r="W77" s="80"/>
    </row>
    <row r="78" spans="1:23" x14ac:dyDescent="0.3">
      <c r="A78" s="17"/>
      <c r="B78" s="26"/>
      <c r="C78" s="25"/>
      <c r="D78" s="39"/>
      <c r="E78" s="39"/>
      <c r="F78" s="28"/>
      <c r="G78" s="17"/>
      <c r="H78" s="19"/>
      <c r="I78" s="19"/>
      <c r="J78" s="21"/>
      <c r="K78" s="22"/>
      <c r="L78" s="79"/>
      <c r="M78" s="80"/>
      <c r="N78" s="79"/>
      <c r="O78" s="80"/>
      <c r="P78" s="79"/>
      <c r="Q78" s="80"/>
      <c r="R78" s="79"/>
      <c r="S78" s="80"/>
      <c r="T78" s="79"/>
      <c r="U78" s="80"/>
      <c r="V78" s="79"/>
      <c r="W78" s="80"/>
    </row>
    <row r="79" spans="1:23" x14ac:dyDescent="0.3">
      <c r="A79" s="17"/>
      <c r="B79" s="26"/>
      <c r="C79" s="25"/>
      <c r="D79" s="39"/>
      <c r="E79" s="39"/>
      <c r="F79" s="28"/>
      <c r="G79" s="17"/>
      <c r="H79" s="19"/>
      <c r="I79" s="19"/>
      <c r="J79" s="21"/>
      <c r="K79" s="22"/>
      <c r="L79" s="79"/>
      <c r="M79" s="80"/>
      <c r="N79" s="79"/>
      <c r="O79" s="80"/>
      <c r="P79" s="79"/>
      <c r="Q79" s="80"/>
      <c r="R79" s="79"/>
      <c r="S79" s="80"/>
      <c r="T79" s="79"/>
      <c r="U79" s="80"/>
      <c r="V79" s="79"/>
      <c r="W79" s="80"/>
    </row>
    <row r="80" spans="1:23" x14ac:dyDescent="0.3">
      <c r="A80" s="31"/>
      <c r="B80" s="32"/>
      <c r="C80" s="25"/>
      <c r="D80" s="39"/>
      <c r="E80" s="39"/>
      <c r="F80" s="28"/>
      <c r="G80" s="17"/>
      <c r="H80" s="19"/>
      <c r="I80" s="19"/>
      <c r="J80" s="34"/>
      <c r="K80" s="22"/>
      <c r="L80" s="79"/>
      <c r="M80" s="80"/>
      <c r="N80" s="79"/>
      <c r="O80" s="80"/>
      <c r="P80" s="79"/>
      <c r="Q80" s="80"/>
      <c r="R80" s="79"/>
      <c r="S80" s="80"/>
      <c r="T80" s="79"/>
      <c r="U80" s="80"/>
      <c r="V80" s="79"/>
      <c r="W80" s="80"/>
    </row>
    <row r="81" spans="1:23" x14ac:dyDescent="0.3">
      <c r="A81" s="31"/>
      <c r="B81" s="32"/>
      <c r="C81" s="25"/>
      <c r="D81" s="39"/>
      <c r="E81" s="39"/>
      <c r="F81" s="28"/>
      <c r="G81" s="17"/>
      <c r="H81" s="19"/>
      <c r="I81" s="19"/>
      <c r="J81" s="34"/>
      <c r="K81" s="22"/>
      <c r="L81" s="79"/>
      <c r="M81" s="80"/>
      <c r="N81" s="79"/>
      <c r="O81" s="80"/>
      <c r="P81" s="79"/>
      <c r="Q81" s="80"/>
      <c r="R81" s="79"/>
      <c r="S81" s="80"/>
      <c r="T81" s="79"/>
      <c r="U81" s="80"/>
      <c r="V81" s="79"/>
      <c r="W81" s="80"/>
    </row>
    <row r="82" spans="1:23" x14ac:dyDescent="0.3">
      <c r="A82" s="31"/>
      <c r="B82" s="32"/>
      <c r="C82" s="25"/>
      <c r="D82" s="39"/>
      <c r="E82" s="39"/>
      <c r="F82" s="28"/>
      <c r="G82" s="17"/>
      <c r="H82" s="19"/>
      <c r="I82" s="19"/>
      <c r="J82" s="34"/>
      <c r="K82" s="22"/>
      <c r="L82" s="79"/>
      <c r="M82" s="80"/>
      <c r="N82" s="79"/>
      <c r="O82" s="80"/>
      <c r="P82" s="79"/>
      <c r="Q82" s="80"/>
      <c r="R82" s="79"/>
      <c r="S82" s="80"/>
      <c r="T82" s="79"/>
      <c r="U82" s="80"/>
      <c r="V82" s="79"/>
      <c r="W82" s="80"/>
    </row>
    <row r="83" spans="1:23" x14ac:dyDescent="0.3">
      <c r="A83" s="31"/>
      <c r="B83" s="32"/>
      <c r="C83" s="25"/>
      <c r="D83" s="39"/>
      <c r="E83" s="39"/>
      <c r="F83" s="28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31"/>
      <c r="B84" s="32"/>
      <c r="C84" s="25"/>
      <c r="D84" s="39"/>
      <c r="E84" s="39"/>
      <c r="F84" s="28"/>
      <c r="G84" s="17"/>
      <c r="H84" s="19"/>
      <c r="I84" s="19"/>
      <c r="J84" s="34"/>
      <c r="K84" s="22"/>
      <c r="L84" s="79"/>
      <c r="M84" s="80"/>
      <c r="N84" s="79"/>
      <c r="O84" s="80"/>
      <c r="P84" s="79"/>
      <c r="Q84" s="80"/>
      <c r="R84" s="79"/>
      <c r="S84" s="80"/>
      <c r="T84" s="79"/>
      <c r="U84" s="80"/>
      <c r="V84" s="79"/>
      <c r="W84" s="80"/>
    </row>
    <row r="85" spans="1:23" x14ac:dyDescent="0.3">
      <c r="A85" s="35"/>
      <c r="B85" s="32"/>
      <c r="C85" s="25"/>
      <c r="D85" s="39"/>
      <c r="E85" s="39"/>
      <c r="F85" s="28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35"/>
      <c r="B86" s="42"/>
      <c r="C86" s="25"/>
      <c r="D86" s="39"/>
      <c r="E86" s="39"/>
      <c r="F86" s="28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35"/>
      <c r="B87" s="43"/>
      <c r="C87" s="25"/>
      <c r="D87" s="39"/>
      <c r="E87" s="39"/>
      <c r="F87" s="28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35"/>
      <c r="B88" s="32"/>
      <c r="C88" s="25"/>
      <c r="D88" s="39"/>
      <c r="E88" s="39"/>
      <c r="F88" s="28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5"/>
      <c r="B89" s="32"/>
      <c r="C89" s="25"/>
      <c r="D89" s="39"/>
      <c r="E89" s="39"/>
      <c r="F89" s="28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5"/>
      <c r="B90" s="32"/>
      <c r="C90" s="25"/>
      <c r="D90" s="39"/>
      <c r="E90" s="39"/>
      <c r="F90" s="28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5"/>
      <c r="B91" s="32"/>
      <c r="C91" s="25"/>
      <c r="D91" s="39"/>
      <c r="E91" s="39"/>
      <c r="F91" s="28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5"/>
      <c r="B92" s="32"/>
      <c r="C92" s="25"/>
      <c r="D92" s="39"/>
      <c r="E92" s="39"/>
      <c r="F92" s="28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31"/>
      <c r="B93" s="32"/>
      <c r="C93" s="25"/>
      <c r="D93" s="39"/>
      <c r="E93" s="39"/>
      <c r="F93" s="28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1"/>
      <c r="B94" s="32"/>
      <c r="C94" s="25"/>
      <c r="D94" s="39"/>
      <c r="E94" s="39"/>
      <c r="F94" s="28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1"/>
      <c r="B95" s="32"/>
      <c r="C95" s="25"/>
      <c r="D95" s="39"/>
      <c r="E95" s="39"/>
      <c r="F95" s="28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5"/>
      <c r="B96" s="36"/>
      <c r="C96" s="25"/>
      <c r="D96" s="39"/>
      <c r="E96" s="39"/>
      <c r="F96" s="28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5"/>
      <c r="B97" s="36"/>
      <c r="C97" s="25"/>
      <c r="D97" s="39"/>
      <c r="E97" s="39"/>
      <c r="F97" s="28"/>
      <c r="G97" s="17"/>
      <c r="H97" s="19"/>
      <c r="I97" s="29"/>
      <c r="J97" s="52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1"/>
      <c r="B98" s="43"/>
      <c r="C98" s="25"/>
      <c r="D98" s="39"/>
      <c r="E98" s="39"/>
      <c r="F98" s="28"/>
      <c r="G98" s="17"/>
      <c r="H98" s="19"/>
      <c r="I98" s="33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1"/>
      <c r="B99" s="32"/>
      <c r="C99" s="25"/>
      <c r="D99" s="39"/>
      <c r="E99" s="39"/>
      <c r="F99" s="28"/>
      <c r="G99" s="17"/>
      <c r="H99" s="19"/>
      <c r="I99" s="33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31"/>
      <c r="B100" s="43"/>
      <c r="C100" s="25"/>
      <c r="D100" s="39"/>
      <c r="E100" s="39"/>
      <c r="F100" s="28"/>
      <c r="G100" s="17"/>
      <c r="H100" s="19"/>
      <c r="I100" s="33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31"/>
      <c r="B101" s="32"/>
      <c r="C101" s="25"/>
      <c r="D101" s="39"/>
      <c r="E101" s="39"/>
      <c r="F101" s="28"/>
      <c r="G101" s="17"/>
      <c r="H101" s="19"/>
      <c r="I101" s="33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1"/>
      <c r="B102" s="32"/>
      <c r="C102" s="25"/>
      <c r="D102" s="39"/>
      <c r="E102" s="39"/>
      <c r="F102" s="28"/>
      <c r="G102" s="17"/>
      <c r="H102" s="19"/>
      <c r="I102" s="33"/>
      <c r="J102" s="34"/>
      <c r="K102" s="22"/>
      <c r="L102" s="79"/>
      <c r="M102" s="80"/>
      <c r="N102" s="79"/>
      <c r="O102" s="80"/>
      <c r="P102" s="79"/>
      <c r="Q102" s="80"/>
      <c r="R102" s="79"/>
      <c r="S102" s="80"/>
      <c r="T102" s="79"/>
      <c r="U102" s="80"/>
      <c r="V102" s="79"/>
      <c r="W102" s="80"/>
    </row>
    <row r="103" spans="1:23" x14ac:dyDescent="0.3">
      <c r="A103" s="31"/>
      <c r="B103" s="32"/>
      <c r="C103" s="25"/>
      <c r="D103" s="39"/>
      <c r="E103" s="39"/>
      <c r="F103" s="28"/>
      <c r="G103" s="17"/>
      <c r="H103" s="19"/>
      <c r="I103" s="33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32"/>
      <c r="C104" s="25"/>
      <c r="D104" s="39"/>
      <c r="E104" s="39"/>
      <c r="F104" s="28"/>
      <c r="G104" s="17"/>
      <c r="H104" s="19"/>
      <c r="I104" s="33"/>
      <c r="J104" s="34"/>
      <c r="K104" s="22"/>
      <c r="L104" s="79"/>
      <c r="M104" s="80"/>
      <c r="N104" s="79"/>
      <c r="O104" s="80"/>
      <c r="P104" s="79"/>
      <c r="Q104" s="80"/>
      <c r="R104" s="79"/>
      <c r="S104" s="80"/>
      <c r="T104" s="79"/>
      <c r="U104" s="80"/>
      <c r="V104" s="79"/>
      <c r="W104" s="80"/>
    </row>
    <row r="105" spans="1:23" x14ac:dyDescent="0.3">
      <c r="A105" s="31"/>
      <c r="B105" s="41"/>
      <c r="C105" s="25"/>
      <c r="D105" s="39"/>
      <c r="E105" s="39"/>
      <c r="F105" s="28"/>
      <c r="G105" s="17"/>
      <c r="H105" s="19"/>
      <c r="I105" s="33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x14ac:dyDescent="0.3">
      <c r="A106" s="31"/>
      <c r="B106" s="41"/>
      <c r="C106" s="25"/>
      <c r="D106" s="39"/>
      <c r="E106" s="39"/>
      <c r="F106" s="28"/>
      <c r="G106" s="17"/>
      <c r="H106" s="19"/>
      <c r="I106" s="33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31"/>
      <c r="B107" s="43"/>
      <c r="C107" s="25"/>
      <c r="D107" s="39"/>
      <c r="E107" s="39"/>
      <c r="F107" s="28"/>
      <c r="G107" s="17"/>
      <c r="H107" s="19"/>
      <c r="I107" s="33"/>
      <c r="J107" s="34"/>
      <c r="K107" s="22"/>
      <c r="L107" s="79"/>
      <c r="M107" s="80"/>
      <c r="N107" s="79"/>
      <c r="O107" s="80"/>
      <c r="P107" s="79"/>
      <c r="Q107" s="80"/>
      <c r="R107" s="79"/>
      <c r="S107" s="80"/>
      <c r="T107" s="79"/>
      <c r="U107" s="80"/>
      <c r="V107" s="79"/>
      <c r="W107" s="80"/>
    </row>
    <row r="108" spans="1:23" x14ac:dyDescent="0.3">
      <c r="A108" s="31"/>
      <c r="B108" s="32"/>
      <c r="C108" s="25"/>
      <c r="D108" s="39"/>
      <c r="E108" s="39"/>
      <c r="F108" s="28"/>
      <c r="G108" s="17"/>
      <c r="H108" s="19"/>
      <c r="I108" s="33"/>
      <c r="J108" s="34"/>
      <c r="K108" s="22"/>
      <c r="L108" s="79"/>
      <c r="M108" s="80"/>
      <c r="N108" s="79"/>
      <c r="O108" s="80"/>
      <c r="P108" s="79"/>
      <c r="Q108" s="80"/>
      <c r="R108" s="79"/>
      <c r="S108" s="80"/>
      <c r="T108" s="79"/>
      <c r="U108" s="80"/>
      <c r="V108" s="79"/>
      <c r="W108" s="80"/>
    </row>
    <row r="109" spans="1:23" x14ac:dyDescent="0.3">
      <c r="A109" s="31"/>
      <c r="B109" s="32"/>
      <c r="C109" s="25"/>
      <c r="D109" s="39"/>
      <c r="E109" s="39"/>
      <c r="F109" s="28"/>
      <c r="G109" s="17"/>
      <c r="H109" s="19"/>
      <c r="I109" s="33"/>
      <c r="J109" s="34"/>
      <c r="K109" s="22"/>
      <c r="L109" s="79"/>
      <c r="M109" s="80"/>
      <c r="N109" s="79"/>
      <c r="O109" s="80"/>
      <c r="P109" s="79"/>
      <c r="Q109" s="80"/>
      <c r="R109" s="79"/>
      <c r="S109" s="80"/>
      <c r="T109" s="79"/>
      <c r="U109" s="80"/>
      <c r="V109" s="79"/>
      <c r="W109" s="80"/>
    </row>
    <row r="110" spans="1:23" x14ac:dyDescent="0.3">
      <c r="A110" s="31"/>
      <c r="B110" s="32"/>
      <c r="C110" s="25"/>
      <c r="D110" s="3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3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32"/>
      <c r="C112" s="25"/>
      <c r="D112" s="3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3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41"/>
      <c r="C114" s="25"/>
      <c r="D114" s="3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41"/>
      <c r="C115" s="25"/>
      <c r="D115" s="3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43"/>
      <c r="C116" s="25"/>
      <c r="D116" s="3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32"/>
      <c r="C117" s="25"/>
      <c r="D117" s="3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25"/>
      <c r="D118" s="3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25"/>
      <c r="D119" s="3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2"/>
      <c r="C120" s="25"/>
      <c r="D120" s="3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2"/>
      <c r="C121" s="25"/>
      <c r="D121" s="3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43"/>
      <c r="C122" s="25"/>
      <c r="D122" s="3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3"/>
      <c r="C123" s="25"/>
      <c r="D123" s="3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41"/>
      <c r="C124" s="25"/>
      <c r="D124" s="3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43"/>
      <c r="C125" s="25"/>
      <c r="D125" s="39"/>
      <c r="E125" s="39"/>
      <c r="F125" s="28"/>
      <c r="G125" s="17"/>
      <c r="H125" s="19"/>
      <c r="I125" s="33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41"/>
      <c r="C126" s="25"/>
      <c r="D126" s="39"/>
      <c r="E126" s="39"/>
      <c r="F126" s="28"/>
      <c r="G126" s="17"/>
      <c r="H126" s="19"/>
      <c r="I126" s="33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</sheetData>
  <sheetProtection selectLockedCells="1" selectUnlockedCells="1"/>
  <conditionalFormatting sqref="G2:G126">
    <cfRule type="cellIs" dxfId="1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E953E-41AE-4DD1-8A16-AC003BDA6BA4}">
  <sheetPr codeName="Sheet16">
    <tabColor theme="7" tint="0.39997558519241921"/>
  </sheetPr>
  <dimension ref="A1:AMK127"/>
  <sheetViews>
    <sheetView zoomScale="80" zoomScaleNormal="80" workbookViewId="0">
      <pane xSplit="11" ySplit="1" topLeftCell="T2" activePane="bottomRight" state="frozen"/>
      <selection pane="topRight" activeCell="L1" sqref="L1"/>
      <selection pane="bottomLeft" activeCell="A2" sqref="A2"/>
      <selection pane="bottomRight" activeCell="L2" sqref="L2"/>
    </sheetView>
  </sheetViews>
  <sheetFormatPr defaultRowHeight="14.4" x14ac:dyDescent="0.3"/>
  <cols>
    <col min="1" max="1" width="7.88671875" style="37" customWidth="1"/>
    <col min="2" max="2" width="9.44140625" style="63" customWidth="1"/>
    <col min="3" max="3" width="9.44140625" style="63" hidden="1" customWidth="1"/>
    <col min="4" max="4" width="17.5546875" style="16" bestFit="1" customWidth="1"/>
    <col min="5" max="5" width="17.5546875" style="16" customWidth="1"/>
    <col min="6" max="6" width="8.5546875" style="16" customWidth="1"/>
    <col min="7" max="7" width="6.6640625" style="16" customWidth="1"/>
    <col min="8" max="8" width="9" style="16" hidden="1" customWidth="1"/>
    <col min="9" max="9" width="9.664062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5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>RANK(K2,K$2:K$139,0)</f>
        <v>1</v>
      </c>
      <c r="B2" s="25">
        <v>6968</v>
      </c>
      <c r="C2" s="25" t="str">
        <f>_xlfn.XLOOKUP(__xlnm._FilterDatabase_1516[[#This Row],[SAPSA Number]],Table1[SAPSA number],Table1[Paid up])</f>
        <v>Y</v>
      </c>
      <c r="D2" s="39" t="str">
        <f>_xlfn.XLOOKUP(__xlnm._FilterDatabase_1516[[#This Row],[SAPSA Number]],Table1[SAPSA number],Table1[Name])</f>
        <v>Ian John</v>
      </c>
      <c r="E2" s="39" t="str">
        <f>_xlfn.XLOOKUP(__xlnm._FilterDatabase_1516[[#This Row],[SAPSA Number]],Table1[SAPSA number],Table1[Surname])</f>
        <v>Kewley</v>
      </c>
      <c r="F2" s="28" t="str">
        <f>_xlfn.XLOOKUP(__xlnm._FilterDatabase_1516[[#This Row],[SAPSA Number]],Table1[SAPSA number],Table1[Initials])</f>
        <v>IJ</v>
      </c>
      <c r="G2" s="17" t="str">
        <f ca="1">_xlfn.XLOOKUP(__xlnm._FilterDatabase_1516[[#This Row],[SAPSA Number]],Table1[SAPSA number],Table1[Gender])</f>
        <v xml:space="preserve"> </v>
      </c>
      <c r="H2" s="19" t="e">
        <f>_xlfn.XLOOKUP(__xlnm._FilterDatabase_1516[[#This Row],[SAPSA Number]],#REF!,#REF!)</f>
        <v>#REF!</v>
      </c>
      <c r="I2" s="19" t="s">
        <v>235</v>
      </c>
      <c r="J2" s="21">
        <f t="shared" ref="J2:J33" si="0">(IF(L2&gt;0,1,0)+(IF(M2&gt;0,1,0))+(IF(N2&gt;0,1,0))+(IF(O2&gt;0,1,0))+(IF(P2&gt;0,1,0))+(IF(Q2&gt;0,1,0))+(IF(R2&gt;0,1,0))+(IF(S2&gt;0,1,0))+(IF(T2&gt;0,1,0))+(IF(U2&gt;0,1,0))+(IF(V2&gt;0,1,0))+(IF(W2&gt;0,1,0)))</f>
        <v>4</v>
      </c>
      <c r="K2" s="22">
        <f t="shared" ref="K2:K33" si="1">(LARGE(L2:U2,1)+LARGE(L2:U2,2)+LARGE(L2:U2,3)+LARGE(L2:U2,4)+LARGE(L2:U2,5))/5</f>
        <v>80</v>
      </c>
      <c r="L2" s="23">
        <v>100</v>
      </c>
      <c r="M2" s="24">
        <v>100</v>
      </c>
      <c r="N2" s="23">
        <v>100</v>
      </c>
      <c r="O2" s="24">
        <v>100</v>
      </c>
      <c r="P2" s="23">
        <v>0</v>
      </c>
      <c r="Q2" s="24">
        <v>0</v>
      </c>
      <c r="R2" s="23">
        <v>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>RANK(K3,K$2:K$139,0)</f>
        <v>2</v>
      </c>
      <c r="B3" s="25">
        <v>1471</v>
      </c>
      <c r="C3" s="25" t="str">
        <f>_xlfn.XLOOKUP(__xlnm._FilterDatabase_1516[[#This Row],[SAPSA Number]],Table1[SAPSA number],Table1[Paid up])</f>
        <v>Y</v>
      </c>
      <c r="D3" s="39" t="str">
        <f>_xlfn.XLOOKUP(__xlnm._FilterDatabase_1516[[#This Row],[SAPSA Number]],Table1[SAPSA number],Table1[Name])</f>
        <v>Nikolaus Phillip Karl</v>
      </c>
      <c r="E3" s="39" t="str">
        <f>_xlfn.XLOOKUP(__xlnm._FilterDatabase_1516[[#This Row],[SAPSA Number]],Table1[SAPSA number],Table1[Surname])</f>
        <v>Bernhard</v>
      </c>
      <c r="F3" s="28" t="str">
        <f>_xlfn.XLOOKUP(__xlnm._FilterDatabase_1516[[#This Row],[SAPSA Number]],Table1[SAPSA number],Table1[Initials])</f>
        <v>NPK</v>
      </c>
      <c r="G3" s="17" t="str">
        <f ca="1">_xlfn.XLOOKUP(__xlnm._FilterDatabase_1516[[#This Row],[SAPSA Number]],Table1[SAPSA number],Table1[Gender])</f>
        <v xml:space="preserve"> </v>
      </c>
      <c r="H3" s="19" t="e">
        <f>_xlfn.XLOOKUP(__xlnm._FilterDatabase_1516[[#This Row],[SAPSA Number]],#REF!,#REF!)</f>
        <v>#REF!</v>
      </c>
      <c r="I3" s="19" t="s">
        <v>235</v>
      </c>
      <c r="J3" s="21">
        <f t="shared" si="0"/>
        <v>0</v>
      </c>
      <c r="K3" s="22">
        <f t="shared" si="1"/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RANK(K4,K$2:K$139,0)</f>
        <v>2</v>
      </c>
      <c r="B4" s="25">
        <v>4624</v>
      </c>
      <c r="C4" s="25" t="str">
        <f>_xlfn.XLOOKUP(__xlnm._FilterDatabase_1516[[#This Row],[SAPSA Number]],Table1[SAPSA number],Table1[Paid up])</f>
        <v>Y</v>
      </c>
      <c r="D4" s="39" t="str">
        <f>_xlfn.XLOOKUP(__xlnm._FilterDatabase_1516[[#This Row],[SAPSA Number]],Table1[SAPSA number],Table1[Name])</f>
        <v>Stephanus Christiaan</v>
      </c>
      <c r="E4" s="39" t="str">
        <f>_xlfn.XLOOKUP(__xlnm._FilterDatabase_1516[[#This Row],[SAPSA Number]],Table1[SAPSA number],Table1[Surname])</f>
        <v>Bester</v>
      </c>
      <c r="F4" s="28" t="str">
        <f>_xlfn.XLOOKUP(__xlnm._FilterDatabase_1516[[#This Row],[SAPSA Number]],Table1[SAPSA number],Table1[Initials])</f>
        <v>SC</v>
      </c>
      <c r="G4" s="17" t="str">
        <f ca="1">_xlfn.XLOOKUP(__xlnm._FilterDatabase_1516[[#This Row],[SAPSA Number]],Table1[SAPSA number],Table1[Gender])</f>
        <v>S</v>
      </c>
      <c r="H4" s="19" t="e">
        <f>_xlfn.XLOOKUP(__xlnm._FilterDatabase_1516[[#This Row],[SAPSA Number]],#REF!,#REF!)</f>
        <v>#REF!</v>
      </c>
      <c r="I4" s="19" t="s">
        <v>235</v>
      </c>
      <c r="J4" s="21">
        <f t="shared" si="0"/>
        <v>0</v>
      </c>
      <c r="K4" s="22">
        <f t="shared" si="1"/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RANK(K5,K$2:K$139,0)</f>
        <v>2</v>
      </c>
      <c r="B5" s="25">
        <v>7431</v>
      </c>
      <c r="C5" s="25">
        <f>_xlfn.XLOOKUP(__xlnm._FilterDatabase_1516[[#This Row],[SAPSA Number]],Table1[SAPSA number],Table1[Paid up])</f>
        <v>0</v>
      </c>
      <c r="D5" s="39" t="str">
        <f>_xlfn.XLOOKUP(__xlnm._FilterDatabase_1516[[#This Row],[SAPSA Number]],Table1[SAPSA number],Table1[Name])</f>
        <v>Anton</v>
      </c>
      <c r="E5" s="39" t="str">
        <f>_xlfn.XLOOKUP(__xlnm._FilterDatabase_1516[[#This Row],[SAPSA Number]],Table1[SAPSA number],Table1[Surname])</f>
        <v>Booyse</v>
      </c>
      <c r="F5" s="28" t="str">
        <f>_xlfn.XLOOKUP(__xlnm._FilterDatabase_1516[[#This Row],[SAPSA Number]],Table1[SAPSA number],Table1[Initials])</f>
        <v>A</v>
      </c>
      <c r="G5" s="17">
        <f>_xlfn.XLOOKUP(__xlnm._FilterDatabase_1516[[#This Row],[SAPSA Number]],Table1[SAPSA number],Table1[Gender])</f>
        <v>0</v>
      </c>
      <c r="H5" s="19" t="e">
        <f>_xlfn.XLOOKUP(__xlnm._FilterDatabase_1516[[#This Row],[SAPSA Number]],#REF!,#REF!)</f>
        <v>#REF!</v>
      </c>
      <c r="I5" s="19" t="s">
        <v>235</v>
      </c>
      <c r="J5" s="21">
        <f t="shared" si="0"/>
        <v>0</v>
      </c>
      <c r="K5" s="22">
        <f t="shared" si="1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RANK(K6,K$2:K$139,0)</f>
        <v>2</v>
      </c>
      <c r="B6" s="25">
        <v>3349</v>
      </c>
      <c r="C6" s="25">
        <f>_xlfn.XLOOKUP(__xlnm._FilterDatabase_1516[[#This Row],[SAPSA Number]],Table1[SAPSA number],Table1[Paid up])</f>
        <v>0</v>
      </c>
      <c r="D6" s="39" t="str">
        <f>_xlfn.XLOOKUP(__xlnm._FilterDatabase_1516[[#This Row],[SAPSA Number]],Table1[SAPSA number],Table1[Name])</f>
        <v>Stefanus Christiaan</v>
      </c>
      <c r="E6" s="39" t="str">
        <f>_xlfn.XLOOKUP(__xlnm._FilterDatabase_1516[[#This Row],[SAPSA Number]],Table1[SAPSA number],Table1[Surname])</f>
        <v>Bosch</v>
      </c>
      <c r="F6" s="28" t="str">
        <f>_xlfn.XLOOKUP(__xlnm._FilterDatabase_1516[[#This Row],[SAPSA Number]],Table1[SAPSA number],Table1[Initials])</f>
        <v>SC</v>
      </c>
      <c r="G6" s="17" t="str">
        <f ca="1">_xlfn.XLOOKUP(__xlnm._FilterDatabase_1516[[#This Row],[SAPSA Number]],Table1[SAPSA number],Table1[Gender])</f>
        <v>S</v>
      </c>
      <c r="H6" s="19" t="e">
        <f>_xlfn.XLOOKUP(__xlnm._FilterDatabase_1516[[#This Row],[SAPSA Number]],#REF!,#REF!)</f>
        <v>#REF!</v>
      </c>
      <c r="I6" s="19" t="s">
        <v>235</v>
      </c>
      <c r="J6" s="21">
        <f t="shared" si="0"/>
        <v>0</v>
      </c>
      <c r="K6" s="22">
        <f t="shared" si="1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RANK(K7,K$2:K$158,0)</f>
        <v>2</v>
      </c>
      <c r="B7" s="18">
        <v>4621</v>
      </c>
      <c r="C7" s="25">
        <f>_xlfn.XLOOKUP(__xlnm._FilterDatabase_1516[[#This Row],[SAPSA Number]],Table1[SAPSA number],Table1[Paid up])</f>
        <v>0</v>
      </c>
      <c r="D7" s="39" t="str">
        <f>_xlfn.XLOOKUP(__xlnm._FilterDatabase_1516[[#This Row],[SAPSA Number]],Table1[SAPSA number],Table1[Name])</f>
        <v>Colin</v>
      </c>
      <c r="E7" s="39" t="str">
        <f>_xlfn.XLOOKUP(__xlnm._FilterDatabase_1516[[#This Row],[SAPSA Number]],Table1[SAPSA number],Table1[Surname])</f>
        <v>Bowring</v>
      </c>
      <c r="F7" s="28" t="str">
        <f>_xlfn.XLOOKUP(__xlnm._FilterDatabase_1516[[#This Row],[SAPSA Number]],Table1[SAPSA number],Table1[Initials])</f>
        <v>C</v>
      </c>
      <c r="G7" s="17" t="str">
        <f ca="1">_xlfn.XLOOKUP(__xlnm._FilterDatabase_1516[[#This Row],[SAPSA Number]],Table1[SAPSA number],Table1[Gender])</f>
        <v>SS</v>
      </c>
      <c r="H7" s="19" t="e">
        <f>_xlfn.XLOOKUP(__xlnm._FilterDatabase_1516[[#This Row],[SAPSA Number]],#REF!,#REF!)</f>
        <v>#REF!</v>
      </c>
      <c r="I7" s="19" t="s">
        <v>235</v>
      </c>
      <c r="J7" s="21">
        <f t="shared" si="0"/>
        <v>0</v>
      </c>
      <c r="K7" s="22">
        <f t="shared" si="1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 t="shared" ref="A8:A39" si="2">RANK(K8,K$2:K$139,0)</f>
        <v>2</v>
      </c>
      <c r="B8" s="18">
        <v>3338</v>
      </c>
      <c r="C8" s="25">
        <f>_xlfn.XLOOKUP(__xlnm._FilterDatabase_1516[[#This Row],[SAPSA Number]],Table1[SAPSA number],Table1[Paid up])</f>
        <v>0</v>
      </c>
      <c r="D8" s="39" t="str">
        <f>_xlfn.XLOOKUP(__xlnm._FilterDatabase_1516[[#This Row],[SAPSA Number]],Table1[SAPSA number],Table1[Name])</f>
        <v>Carl Johann</v>
      </c>
      <c r="E8" s="39" t="str">
        <f>_xlfn.XLOOKUP(__xlnm._FilterDatabase_1516[[#This Row],[SAPSA Number]],Table1[SAPSA number],Table1[Surname])</f>
        <v>Brandt</v>
      </c>
      <c r="F8" s="28" t="str">
        <f>_xlfn.XLOOKUP(__xlnm._FilterDatabase_1516[[#This Row],[SAPSA Number]],Table1[SAPSA number],Table1[Initials])</f>
        <v>CJ</v>
      </c>
      <c r="G8" s="17" t="str">
        <f ca="1">_xlfn.XLOOKUP(__xlnm._FilterDatabase_1516[[#This Row],[SAPSA Number]],Table1[SAPSA number],Table1[Gender])</f>
        <v>S</v>
      </c>
      <c r="H8" s="19" t="e">
        <f>_xlfn.XLOOKUP(__xlnm._FilterDatabase_1516[[#This Row],[SAPSA Number]],#REF!,#REF!)</f>
        <v>#REF!</v>
      </c>
      <c r="I8" s="19" t="s">
        <v>235</v>
      </c>
      <c r="J8" s="21">
        <f t="shared" si="0"/>
        <v>0</v>
      </c>
      <c r="K8" s="22">
        <f t="shared" si="1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 t="shared" si="2"/>
        <v>2</v>
      </c>
      <c r="B9" s="25">
        <v>3350</v>
      </c>
      <c r="C9" s="25">
        <f>_xlfn.XLOOKUP(__xlnm._FilterDatabase_1516[[#This Row],[SAPSA Number]],Table1[SAPSA number],Table1[Paid up])</f>
        <v>0</v>
      </c>
      <c r="D9" s="39" t="str">
        <f>_xlfn.XLOOKUP(__xlnm._FilterDatabase_1516[[#This Row],[SAPSA Number]],Table1[SAPSA number],Table1[Name])</f>
        <v>Conrad Ernest</v>
      </c>
      <c r="E9" s="39" t="str">
        <f>_xlfn.XLOOKUP(__xlnm._FilterDatabase_1516[[#This Row],[SAPSA Number]],Table1[SAPSA number],Table1[Surname])</f>
        <v>Brandt</v>
      </c>
      <c r="F9" s="28" t="str">
        <f>_xlfn.XLOOKUP(__xlnm._FilterDatabase_1516[[#This Row],[SAPSA Number]],Table1[SAPSA number],Table1[Initials])</f>
        <v>CE</v>
      </c>
      <c r="G9" s="17" t="str">
        <f ca="1">_xlfn.XLOOKUP(__xlnm._FilterDatabase_1516[[#This Row],[SAPSA Number]],Table1[SAPSA number],Table1[Gender])</f>
        <v>S</v>
      </c>
      <c r="H9" s="19" t="e">
        <f>_xlfn.XLOOKUP(__xlnm._FilterDatabase_1516[[#This Row],[SAPSA Number]],#REF!,#REF!)</f>
        <v>#REF!</v>
      </c>
      <c r="I9" s="19" t="s">
        <v>235</v>
      </c>
      <c r="J9" s="21">
        <f t="shared" si="0"/>
        <v>0</v>
      </c>
      <c r="K9" s="22">
        <f t="shared" si="1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si="2"/>
        <v>2</v>
      </c>
      <c r="B10" s="25">
        <v>3576</v>
      </c>
      <c r="C10" s="25" t="str">
        <f>_xlfn.XLOOKUP(__xlnm._FilterDatabase_1516[[#This Row],[SAPSA Number]],Table1[SAPSA number],Table1[Paid up])</f>
        <v>Y</v>
      </c>
      <c r="D10" s="39" t="str">
        <f>_xlfn.XLOOKUP(__xlnm._FilterDatabase_1516[[#This Row],[SAPSA Number]],Table1[SAPSA number],Table1[Name])</f>
        <v>Christoff Mechiel</v>
      </c>
      <c r="E10" s="39" t="str">
        <f>_xlfn.XLOOKUP(__xlnm._FilterDatabase_1516[[#This Row],[SAPSA Number]],Table1[SAPSA number],Table1[Surname])</f>
        <v>Brandt</v>
      </c>
      <c r="F10" s="28" t="str">
        <f>_xlfn.XLOOKUP(__xlnm._FilterDatabase_1516[[#This Row],[SAPSA Number]],Table1[SAPSA number],Table1[Initials])</f>
        <v>CM</v>
      </c>
      <c r="G10" s="17" t="str">
        <f ca="1">_xlfn.XLOOKUP(__xlnm._FilterDatabase_1516[[#This Row],[SAPSA Number]],Table1[SAPSA number],Table1[Gender])</f>
        <v xml:space="preserve"> </v>
      </c>
      <c r="H10" s="19" t="e">
        <f>_xlfn.XLOOKUP(__xlnm._FilterDatabase_1516[[#This Row],[SAPSA Number]],#REF!,#REF!)</f>
        <v>#REF!</v>
      </c>
      <c r="I10" s="19" t="s">
        <v>235</v>
      </c>
      <c r="J10" s="21">
        <f t="shared" si="0"/>
        <v>0</v>
      </c>
      <c r="K10" s="22">
        <f t="shared" si="1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2"/>
        <v>2</v>
      </c>
      <c r="B11" s="40">
        <v>5304</v>
      </c>
      <c r="C11" s="25">
        <f>_xlfn.XLOOKUP(__xlnm._FilterDatabase_1516[[#This Row],[SAPSA Number]],Table1[SAPSA number],Table1[Paid up])</f>
        <v>0</v>
      </c>
      <c r="D11" s="39" t="str">
        <f>_xlfn.XLOOKUP(__xlnm._FilterDatabase_1516[[#This Row],[SAPSA Number]],Table1[SAPSA number],Table1[Name])</f>
        <v>Johan Gerard</v>
      </c>
      <c r="E11" s="39" t="str">
        <f>_xlfn.XLOOKUP(__xlnm._FilterDatabase_1516[[#This Row],[SAPSA Number]],Table1[SAPSA number],Table1[Surname])</f>
        <v>Bultman</v>
      </c>
      <c r="F11" s="28" t="str">
        <f>_xlfn.XLOOKUP(__xlnm._FilterDatabase_1516[[#This Row],[SAPSA Number]],Table1[SAPSA number],Table1[Initials])</f>
        <v>JG</v>
      </c>
      <c r="G11" s="17" t="str">
        <f ca="1">_xlfn.XLOOKUP(__xlnm._FilterDatabase_1516[[#This Row],[SAPSA Number]],Table1[SAPSA number],Table1[Gender])</f>
        <v xml:space="preserve"> </v>
      </c>
      <c r="H11" s="19" t="e">
        <f>_xlfn.XLOOKUP(__xlnm._FilterDatabase_1516[[#This Row],[SAPSA Number]],#REF!,#REF!)</f>
        <v>#REF!</v>
      </c>
      <c r="I11" s="19" t="s">
        <v>235</v>
      </c>
      <c r="J11" s="21">
        <f t="shared" si="0"/>
        <v>0</v>
      </c>
      <c r="K11" s="22">
        <f t="shared" si="1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2"/>
        <v>2</v>
      </c>
      <c r="B12" s="25">
        <v>259</v>
      </c>
      <c r="C12" s="25" t="str">
        <f>_xlfn.XLOOKUP(__xlnm._FilterDatabase_1516[[#This Row],[SAPSA Number]],Table1[SAPSA number],Table1[Paid up])</f>
        <v>Y</v>
      </c>
      <c r="D12" s="39" t="str">
        <f>_xlfn.XLOOKUP(__xlnm._FilterDatabase_1516[[#This Row],[SAPSA Number]],Table1[SAPSA number],Table1[Name])</f>
        <v>Kathleen Beresford</v>
      </c>
      <c r="E12" s="39" t="str">
        <f>_xlfn.XLOOKUP(__xlnm._FilterDatabase_1516[[#This Row],[SAPSA Number]],Table1[SAPSA number],Table1[Surname])</f>
        <v>Carter</v>
      </c>
      <c r="F12" s="28" t="str">
        <f>_xlfn.XLOOKUP(__xlnm._FilterDatabase_1516[[#This Row],[SAPSA Number]],Table1[SAPSA number],Table1[Initials])</f>
        <v>KB</v>
      </c>
      <c r="G12" s="17" t="str">
        <f>_xlfn.XLOOKUP(__xlnm._FilterDatabase_1516[[#This Row],[SAPSA Number]],Table1[SAPSA number],Table1[Gender])</f>
        <v>Lady</v>
      </c>
      <c r="H12" s="19" t="e">
        <f>_xlfn.XLOOKUP(__xlnm._FilterDatabase_1516[[#This Row],[SAPSA Number]],#REF!,#REF!)</f>
        <v>#REF!</v>
      </c>
      <c r="I12" s="19" t="s">
        <v>235</v>
      </c>
      <c r="J12" s="21">
        <f t="shared" si="0"/>
        <v>0</v>
      </c>
      <c r="K12" s="22">
        <f t="shared" si="1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2"/>
        <v>2</v>
      </c>
      <c r="B13" s="25">
        <v>4316</v>
      </c>
      <c r="C13" s="25" t="str">
        <f>_xlfn.XLOOKUP(__xlnm._FilterDatabase_1516[[#This Row],[SAPSA Number]],Table1[SAPSA number],Table1[Paid up])</f>
        <v>Y</v>
      </c>
      <c r="D13" s="39" t="str">
        <f>_xlfn.XLOOKUP(__xlnm._FilterDatabase_1516[[#This Row],[SAPSA Number]],Table1[SAPSA number],Table1[Name])</f>
        <v>Wilhelm Jacobus</v>
      </c>
      <c r="E13" s="39" t="str">
        <f>_xlfn.XLOOKUP(__xlnm._FilterDatabase_1516[[#This Row],[SAPSA Number]],Table1[SAPSA number],Table1[Surname])</f>
        <v>Coetzee</v>
      </c>
      <c r="F13" s="28" t="str">
        <f>_xlfn.XLOOKUP(__xlnm._FilterDatabase_1516[[#This Row],[SAPSA Number]],Table1[SAPSA number],Table1[Initials])</f>
        <v>WJ</v>
      </c>
      <c r="G13" s="17" t="str">
        <f ca="1">_xlfn.XLOOKUP(__xlnm._FilterDatabase_1516[[#This Row],[SAPSA Number]],Table1[SAPSA number],Table1[Gender])</f>
        <v>S</v>
      </c>
      <c r="H13" s="19" t="e">
        <f>_xlfn.XLOOKUP(__xlnm._FilterDatabase_1516[[#This Row],[SAPSA Number]],#REF!,#REF!)</f>
        <v>#REF!</v>
      </c>
      <c r="I13" s="19" t="s">
        <v>235</v>
      </c>
      <c r="J13" s="21">
        <f t="shared" si="0"/>
        <v>0</v>
      </c>
      <c r="K13" s="22">
        <f t="shared" si="1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2"/>
        <v>2</v>
      </c>
      <c r="B14" s="25">
        <v>591</v>
      </c>
      <c r="C14" s="25" t="str">
        <f>_xlfn.XLOOKUP(__xlnm._FilterDatabase_1516[[#This Row],[SAPSA Number]],Table1[SAPSA number],Table1[Paid up])</f>
        <v>Y</v>
      </c>
      <c r="D14" s="39" t="str">
        <f>_xlfn.XLOOKUP(__xlnm._FilterDatabase_1516[[#This Row],[SAPSA Number]],Table1[SAPSA number],Table1[Name])</f>
        <v>Enrico</v>
      </c>
      <c r="E14" s="39" t="str">
        <f>_xlfn.XLOOKUP(__xlnm._FilterDatabase_1516[[#This Row],[SAPSA Number]],Table1[SAPSA number],Table1[Surname])</f>
        <v>Cupido</v>
      </c>
      <c r="F14" s="28" t="str">
        <f>_xlfn.XLOOKUP(__xlnm._FilterDatabase_1516[[#This Row],[SAPSA Number]],Table1[SAPSA number],Table1[Initials])</f>
        <v>E</v>
      </c>
      <c r="G14" s="17" t="str">
        <f ca="1">_xlfn.XLOOKUP(__xlnm._FilterDatabase_1516[[#This Row],[SAPSA Number]],Table1[SAPSA number],Table1[Gender])</f>
        <v>GS</v>
      </c>
      <c r="H14" s="19" t="e">
        <f>_xlfn.XLOOKUP(__xlnm._FilterDatabase_1516[[#This Row],[SAPSA Number]],#REF!,#REF!)</f>
        <v>#REF!</v>
      </c>
      <c r="I14" s="19" t="s">
        <v>235</v>
      </c>
      <c r="J14" s="21">
        <f t="shared" si="0"/>
        <v>0</v>
      </c>
      <c r="K14" s="22">
        <f t="shared" si="1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2"/>
        <v>2</v>
      </c>
      <c r="B15" s="25">
        <v>601</v>
      </c>
      <c r="C15" s="25" t="str">
        <f>_xlfn.XLOOKUP(__xlnm._FilterDatabase_1516[[#This Row],[SAPSA Number]],Table1[SAPSA number],Table1[Paid up])</f>
        <v>Y</v>
      </c>
      <c r="D15" s="39" t="str">
        <f>_xlfn.XLOOKUP(__xlnm._FilterDatabase_1516[[#This Row],[SAPSA Number]],Table1[SAPSA number],Table1[Name])</f>
        <v>Piero</v>
      </c>
      <c r="E15" s="39" t="str">
        <f>_xlfn.XLOOKUP(__xlnm._FilterDatabase_1516[[#This Row],[SAPSA Number]],Table1[SAPSA number],Table1[Surname])</f>
        <v>Cupido</v>
      </c>
      <c r="F15" s="28" t="str">
        <f>_xlfn.XLOOKUP(__xlnm._FilterDatabase_1516[[#This Row],[SAPSA Number]],Table1[SAPSA number],Table1[Initials])</f>
        <v>P</v>
      </c>
      <c r="G15" s="17" t="str">
        <f ca="1">_xlfn.XLOOKUP(__xlnm._FilterDatabase_1516[[#This Row],[SAPSA Number]],Table1[SAPSA number],Table1[Gender])</f>
        <v xml:space="preserve"> </v>
      </c>
      <c r="H15" s="19" t="e">
        <f>_xlfn.XLOOKUP(__xlnm._FilterDatabase_1516[[#This Row],[SAPSA Number]],#REF!,#REF!)</f>
        <v>#REF!</v>
      </c>
      <c r="I15" s="19" t="s">
        <v>235</v>
      </c>
      <c r="J15" s="21">
        <f t="shared" si="0"/>
        <v>0</v>
      </c>
      <c r="K15" s="22">
        <f t="shared" si="1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2"/>
        <v>2</v>
      </c>
      <c r="B16" s="25">
        <v>288</v>
      </c>
      <c r="C16" s="25" t="str">
        <f>_xlfn.XLOOKUP(__xlnm._FilterDatabase_1516[[#This Row],[SAPSA Number]],Table1[SAPSA number],Table1[Paid up])</f>
        <v>Y</v>
      </c>
      <c r="D16" s="39" t="str">
        <f>_xlfn.XLOOKUP(__xlnm._FilterDatabase_1516[[#This Row],[SAPSA Number]],Table1[SAPSA number],Table1[Name])</f>
        <v>Feroz</v>
      </c>
      <c r="E16" s="39" t="str">
        <f>_xlfn.XLOOKUP(__xlnm._FilterDatabase_1516[[#This Row],[SAPSA Number]],Table1[SAPSA number],Table1[Surname])</f>
        <v>Daya</v>
      </c>
      <c r="F16" s="28" t="str">
        <f>_xlfn.XLOOKUP(__xlnm._FilterDatabase_1516[[#This Row],[SAPSA Number]],Table1[SAPSA number],Table1[Initials])</f>
        <v>F</v>
      </c>
      <c r="G16" s="17" t="str">
        <f ca="1">_xlfn.XLOOKUP(__xlnm._FilterDatabase_1516[[#This Row],[SAPSA Number]],Table1[SAPSA number],Table1[Gender])</f>
        <v>S</v>
      </c>
      <c r="H16" s="19" t="e">
        <f>_xlfn.XLOOKUP(__xlnm._FilterDatabase_1516[[#This Row],[SAPSA Number]],#REF!,#REF!)</f>
        <v>#REF!</v>
      </c>
      <c r="I16" s="19" t="s">
        <v>235</v>
      </c>
      <c r="J16" s="21">
        <f t="shared" si="0"/>
        <v>0</v>
      </c>
      <c r="K16" s="22">
        <f t="shared" si="1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2"/>
        <v>2</v>
      </c>
      <c r="B17" s="25">
        <v>6846</v>
      </c>
      <c r="C17" s="25">
        <f>_xlfn.XLOOKUP(__xlnm._FilterDatabase_1516[[#This Row],[SAPSA Number]],Table1[SAPSA number],Table1[Paid up])</f>
        <v>0</v>
      </c>
      <c r="D17" s="39" t="str">
        <f>_xlfn.XLOOKUP(__xlnm._FilterDatabase_1516[[#This Row],[SAPSA Number]],Table1[SAPSA number],Table1[Name])</f>
        <v>Daniel Stephanus Jacobus</v>
      </c>
      <c r="E17" s="39" t="str">
        <f>_xlfn.XLOOKUP(__xlnm._FilterDatabase_1516[[#This Row],[SAPSA Number]],Table1[SAPSA number],Table1[Surname])</f>
        <v>Dreyer</v>
      </c>
      <c r="F17" s="28" t="str">
        <f>_xlfn.XLOOKUP(__xlnm._FilterDatabase_1516[[#This Row],[SAPSA Number]],Table1[SAPSA number],Table1[Initials])</f>
        <v>DSJ</v>
      </c>
      <c r="G17" s="17" t="str">
        <f ca="1">_xlfn.XLOOKUP(__xlnm._FilterDatabase_1516[[#This Row],[SAPSA Number]],Table1[SAPSA number],Table1[Gender])</f>
        <v xml:space="preserve"> </v>
      </c>
      <c r="H17" s="19" t="e">
        <f>_xlfn.XLOOKUP(__xlnm._FilterDatabase_1516[[#This Row],[SAPSA Number]],#REF!,#REF!)</f>
        <v>#REF!</v>
      </c>
      <c r="I17" s="19" t="s">
        <v>235</v>
      </c>
      <c r="J17" s="21">
        <f t="shared" si="0"/>
        <v>0</v>
      </c>
      <c r="K17" s="22">
        <f t="shared" si="1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2"/>
        <v>2</v>
      </c>
      <c r="B18" s="25">
        <v>392</v>
      </c>
      <c r="C18" s="25" t="str">
        <f>_xlfn.XLOOKUP(__xlnm._FilterDatabase_1516[[#This Row],[SAPSA Number]],Table1[SAPSA number],Table1[Paid up])</f>
        <v>Y</v>
      </c>
      <c r="D18" s="39" t="str">
        <f>_xlfn.XLOOKUP(__xlnm._FilterDatabase_1516[[#This Row],[SAPSA Number]],Table1[SAPSA number],Table1[Name])</f>
        <v>Sasha-Lee</v>
      </c>
      <c r="E18" s="39" t="str">
        <f>_xlfn.XLOOKUP(__xlnm._FilterDatabase_1516[[#This Row],[SAPSA Number]],Table1[SAPSA number],Table1[Surname])</f>
        <v>Du Plessis</v>
      </c>
      <c r="F18" s="28" t="str">
        <f>_xlfn.XLOOKUP(__xlnm._FilterDatabase_1516[[#This Row],[SAPSA Number]],Table1[SAPSA number],Table1[Initials])</f>
        <v>SL</v>
      </c>
      <c r="G18" s="17" t="str">
        <f>_xlfn.XLOOKUP(__xlnm._FilterDatabase_1516[[#This Row],[SAPSA Number]],Table1[SAPSA number],Table1[Gender])</f>
        <v>Lady</v>
      </c>
      <c r="H18" s="19" t="e">
        <f>_xlfn.XLOOKUP(__xlnm._FilterDatabase_1516[[#This Row],[SAPSA Number]],#REF!,#REF!)</f>
        <v>#REF!</v>
      </c>
      <c r="I18" s="19" t="s">
        <v>235</v>
      </c>
      <c r="J18" s="21">
        <f t="shared" si="0"/>
        <v>0</v>
      </c>
      <c r="K18" s="22">
        <f t="shared" si="1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2"/>
        <v>2</v>
      </c>
      <c r="B19" s="18">
        <v>127</v>
      </c>
      <c r="C19" s="25" t="str">
        <f>_xlfn.XLOOKUP(__xlnm._FilterDatabase_1516[[#This Row],[SAPSA Number]],Table1[SAPSA number],Table1[Paid up])</f>
        <v>Y</v>
      </c>
      <c r="D19" s="39" t="str">
        <f>_xlfn.XLOOKUP(__xlnm._FilterDatabase_1516[[#This Row],[SAPSA Number]],Table1[SAPSA number],Table1[Name])</f>
        <v>Eurika Susara</v>
      </c>
      <c r="E19" s="39" t="str">
        <f>_xlfn.XLOOKUP(__xlnm._FilterDatabase_1516[[#This Row],[SAPSA Number]],Table1[SAPSA number],Table1[Surname])</f>
        <v>Du Plooy</v>
      </c>
      <c r="F19" s="28" t="str">
        <f>_xlfn.XLOOKUP(__xlnm._FilterDatabase_1516[[#This Row],[SAPSA Number]],Table1[SAPSA number],Table1[Initials])</f>
        <v>E</v>
      </c>
      <c r="G19" s="17" t="str">
        <f>_xlfn.XLOOKUP(__xlnm._FilterDatabase_1516[[#This Row],[SAPSA Number]],Table1[SAPSA number],Table1[Gender])</f>
        <v>SS</v>
      </c>
      <c r="H19" s="19" t="e">
        <f>_xlfn.XLOOKUP(__xlnm._FilterDatabase_1516[[#This Row],[SAPSA Number]],#REF!,#REF!)</f>
        <v>#REF!</v>
      </c>
      <c r="I19" s="19" t="s">
        <v>235</v>
      </c>
      <c r="J19" s="21">
        <f t="shared" si="0"/>
        <v>0</v>
      </c>
      <c r="K19" s="22">
        <f t="shared" si="1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2"/>
        <v>2</v>
      </c>
      <c r="B20" s="25">
        <v>393</v>
      </c>
      <c r="C20" s="25" t="str">
        <f>_xlfn.XLOOKUP(__xlnm._FilterDatabase_1516[[#This Row],[SAPSA Number]],Table1[SAPSA number],Table1[Paid up])</f>
        <v>Y</v>
      </c>
      <c r="D20" s="39" t="str">
        <f>_xlfn.XLOOKUP(__xlnm._FilterDatabase_1516[[#This Row],[SAPSA Number]],Table1[SAPSA number],Table1[Name])</f>
        <v>Robyn Angela</v>
      </c>
      <c r="E20" s="39" t="str">
        <f>_xlfn.XLOOKUP(__xlnm._FilterDatabase_1516[[#This Row],[SAPSA Number]],Table1[SAPSA number],Table1[Surname])</f>
        <v>Evans</v>
      </c>
      <c r="F20" s="28" t="str">
        <f>_xlfn.XLOOKUP(__xlnm._FilterDatabase_1516[[#This Row],[SAPSA Number]],Table1[SAPSA number],Table1[Initials])</f>
        <v>RA</v>
      </c>
      <c r="G20" s="17" t="str">
        <f>_xlfn.XLOOKUP(__xlnm._FilterDatabase_1516[[#This Row],[SAPSA Number]],Table1[SAPSA number],Table1[Gender])</f>
        <v>Lady</v>
      </c>
      <c r="H20" s="19" t="e">
        <f>_xlfn.XLOOKUP(__xlnm._FilterDatabase_1516[[#This Row],[SAPSA Number]],#REF!,#REF!)</f>
        <v>#REF!</v>
      </c>
      <c r="I20" s="19" t="s">
        <v>235</v>
      </c>
      <c r="J20" s="21">
        <f t="shared" si="0"/>
        <v>0</v>
      </c>
      <c r="K20" s="22">
        <f t="shared" si="1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2"/>
        <v>2</v>
      </c>
      <c r="B21" s="25">
        <v>3172</v>
      </c>
      <c r="C21" s="25" t="str">
        <f>_xlfn.XLOOKUP(__xlnm._FilterDatabase_1516[[#This Row],[SAPSA Number]],Table1[SAPSA number],Table1[Paid up])</f>
        <v>Y</v>
      </c>
      <c r="D21" s="39" t="str">
        <f>_xlfn.XLOOKUP(__xlnm._FilterDatabase_1516[[#This Row],[SAPSA Number]],Table1[SAPSA number],Table1[Name])</f>
        <v>Mervyn-John</v>
      </c>
      <c r="E21" s="39" t="str">
        <f>_xlfn.XLOOKUP(__xlnm._FilterDatabase_1516[[#This Row],[SAPSA Number]],Table1[SAPSA number],Table1[Surname])</f>
        <v>Evans</v>
      </c>
      <c r="F21" s="28" t="str">
        <f>_xlfn.XLOOKUP(__xlnm._FilterDatabase_1516[[#This Row],[SAPSA Number]],Table1[SAPSA number],Table1[Initials])</f>
        <v>MJ</v>
      </c>
      <c r="G21" s="17" t="str">
        <f ca="1">_xlfn.XLOOKUP(__xlnm._FilterDatabase_1516[[#This Row],[SAPSA Number]],Table1[SAPSA number],Table1[Gender])</f>
        <v>SS</v>
      </c>
      <c r="H21" s="19" t="e">
        <f>_xlfn.XLOOKUP(__xlnm._FilterDatabase_1516[[#This Row],[SAPSA Number]],#REF!,#REF!)</f>
        <v>#REF!</v>
      </c>
      <c r="I21" s="19" t="s">
        <v>235</v>
      </c>
      <c r="J21" s="21">
        <f t="shared" si="0"/>
        <v>0</v>
      </c>
      <c r="K21" s="22">
        <f t="shared" si="1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2"/>
        <v>2</v>
      </c>
      <c r="B22" s="25">
        <v>3173</v>
      </c>
      <c r="C22" s="25" t="str">
        <f>_xlfn.XLOOKUP(__xlnm._FilterDatabase_1516[[#This Row],[SAPSA Number]],Table1[SAPSA number],Table1[Paid up])</f>
        <v>Y</v>
      </c>
      <c r="D22" s="39" t="str">
        <f>_xlfn.XLOOKUP(__xlnm._FilterDatabase_1516[[#This Row],[SAPSA Number]],Table1[SAPSA number],Table1[Name])</f>
        <v>Garrett-John</v>
      </c>
      <c r="E22" s="39" t="str">
        <f>_xlfn.XLOOKUP(__xlnm._FilterDatabase_1516[[#This Row],[SAPSA Number]],Table1[SAPSA number],Table1[Surname])</f>
        <v>Evans</v>
      </c>
      <c r="F22" s="28" t="str">
        <f>_xlfn.XLOOKUP(__xlnm._FilterDatabase_1516[[#This Row],[SAPSA Number]],Table1[SAPSA number],Table1[Initials])</f>
        <v>G-J</v>
      </c>
      <c r="G22" s="17" t="str">
        <f ca="1">_xlfn.XLOOKUP(__xlnm._FilterDatabase_1516[[#This Row],[SAPSA Number]],Table1[SAPSA number],Table1[Gender])</f>
        <v xml:space="preserve"> </v>
      </c>
      <c r="H22" s="19" t="e">
        <f>_xlfn.XLOOKUP(__xlnm._FilterDatabase_1516[[#This Row],[SAPSA Number]],#REF!,#REF!)</f>
        <v>#REF!</v>
      </c>
      <c r="I22" s="19" t="s">
        <v>235</v>
      </c>
      <c r="J22" s="21">
        <f t="shared" si="0"/>
        <v>0</v>
      </c>
      <c r="K22" s="22">
        <f t="shared" si="1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2"/>
        <v>2</v>
      </c>
      <c r="B23" s="40">
        <v>7434</v>
      </c>
      <c r="C23" s="25">
        <f>_xlfn.XLOOKUP(__xlnm._FilterDatabase_1516[[#This Row],[SAPSA Number]],Table1[SAPSA number],Table1[Paid up])</f>
        <v>0</v>
      </c>
      <c r="D23" s="39" t="str">
        <f>_xlfn.XLOOKUP(__xlnm._FilterDatabase_1516[[#This Row],[SAPSA Number]],Table1[SAPSA number],Table1[Name])</f>
        <v>Shannon Kimberley</v>
      </c>
      <c r="E23" s="39" t="str">
        <f>_xlfn.XLOOKUP(__xlnm._FilterDatabase_1516[[#This Row],[SAPSA Number]],Table1[SAPSA number],Table1[Surname])</f>
        <v>Gahagan</v>
      </c>
      <c r="F23" s="28" t="str">
        <f>_xlfn.XLOOKUP(__xlnm._FilterDatabase_1516[[#This Row],[SAPSA Number]],Table1[SAPSA number],Table1[Initials])</f>
        <v>S</v>
      </c>
      <c r="G23" s="17" t="str">
        <f>_xlfn.XLOOKUP(__xlnm._FilterDatabase_1516[[#This Row],[SAPSA Number]],Table1[SAPSA number],Table1[Gender])</f>
        <v>Lady</v>
      </c>
      <c r="H23" s="19" t="e">
        <f>_xlfn.XLOOKUP(__xlnm._FilterDatabase_1516[[#This Row],[SAPSA Number]],#REF!,#REF!)</f>
        <v>#REF!</v>
      </c>
      <c r="I23" s="19" t="s">
        <v>235</v>
      </c>
      <c r="J23" s="21">
        <f t="shared" si="0"/>
        <v>0</v>
      </c>
      <c r="K23" s="22">
        <f t="shared" si="1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2"/>
        <v>2</v>
      </c>
      <c r="B24" s="25">
        <v>3782</v>
      </c>
      <c r="C24" s="25">
        <f>_xlfn.XLOOKUP(__xlnm._FilterDatabase_1516[[#This Row],[SAPSA Number]],Table1[SAPSA number],Table1[Paid up])</f>
        <v>0</v>
      </c>
      <c r="D24" s="39" t="str">
        <f>_xlfn.XLOOKUP(__xlnm._FilterDatabase_1516[[#This Row],[SAPSA Number]],Table1[SAPSA number],Table1[Name])</f>
        <v>Gary Athol</v>
      </c>
      <c r="E24" s="39" t="str">
        <f>_xlfn.XLOOKUP(__xlnm._FilterDatabase_1516[[#This Row],[SAPSA Number]],Table1[SAPSA number],Table1[Surname])</f>
        <v>Hagemann</v>
      </c>
      <c r="F24" s="28" t="str">
        <f>_xlfn.XLOOKUP(__xlnm._FilterDatabase_1516[[#This Row],[SAPSA Number]],Table1[SAPSA number],Table1[Initials])</f>
        <v>GA</v>
      </c>
      <c r="G24" s="17" t="str">
        <f ca="1">_xlfn.XLOOKUP(__xlnm._FilterDatabase_1516[[#This Row],[SAPSA Number]],Table1[SAPSA number],Table1[Gender])</f>
        <v>S</v>
      </c>
      <c r="H24" s="19" t="e">
        <f>_xlfn.XLOOKUP(__xlnm._FilterDatabase_1516[[#This Row],[SAPSA Number]],#REF!,#REF!)</f>
        <v>#REF!</v>
      </c>
      <c r="I24" s="19" t="s">
        <v>235</v>
      </c>
      <c r="J24" s="21">
        <f t="shared" si="0"/>
        <v>0</v>
      </c>
      <c r="K24" s="22">
        <f t="shared" si="1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2"/>
        <v>2</v>
      </c>
      <c r="B25" s="25">
        <v>6308</v>
      </c>
      <c r="C25" s="25">
        <f>_xlfn.XLOOKUP(__xlnm._FilterDatabase_1516[[#This Row],[SAPSA Number]],Table1[SAPSA number],Table1[Paid up])</f>
        <v>0</v>
      </c>
      <c r="D25" s="39" t="str">
        <f>_xlfn.XLOOKUP(__xlnm._FilterDatabase_1516[[#This Row],[SAPSA Number]],Table1[SAPSA number],Table1[Name])</f>
        <v>James Matthew</v>
      </c>
      <c r="E25" s="39" t="str">
        <f>_xlfn.XLOOKUP(__xlnm._FilterDatabase_1516[[#This Row],[SAPSA Number]],Table1[SAPSA number],Table1[Surname])</f>
        <v>Hagemann</v>
      </c>
      <c r="F25" s="28" t="str">
        <f>_xlfn.XLOOKUP(__xlnm._FilterDatabase_1516[[#This Row],[SAPSA Number]],Table1[SAPSA number],Table1[Initials])</f>
        <v>JM</v>
      </c>
      <c r="G25" s="17" t="str">
        <f ca="1">_xlfn.XLOOKUP(__xlnm._FilterDatabase_1516[[#This Row],[SAPSA Number]],Table1[SAPSA number],Table1[Gender])</f>
        <v>Jnr</v>
      </c>
      <c r="H25" s="19" t="e">
        <f>_xlfn.XLOOKUP(__xlnm._FilterDatabase_1516[[#This Row],[SAPSA Number]],#REF!,#REF!)</f>
        <v>#REF!</v>
      </c>
      <c r="I25" s="19" t="s">
        <v>235</v>
      </c>
      <c r="J25" s="21">
        <f t="shared" si="0"/>
        <v>0</v>
      </c>
      <c r="K25" s="22">
        <f t="shared" si="1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2"/>
        <v>2</v>
      </c>
      <c r="B26" s="25">
        <v>7328</v>
      </c>
      <c r="C26" s="25" t="str">
        <f>_xlfn.XLOOKUP(__xlnm._FilterDatabase_1516[[#This Row],[SAPSA Number]],Table1[SAPSA number],Table1[Paid up])</f>
        <v>Y</v>
      </c>
      <c r="D26" s="39" t="str">
        <f>_xlfn.XLOOKUP(__xlnm._FilterDatabase_1516[[#This Row],[SAPSA Number]],Table1[SAPSA number],Table1[Name])</f>
        <v>Sizwe</v>
      </c>
      <c r="E26" s="39" t="str">
        <f>_xlfn.XLOOKUP(__xlnm._FilterDatabase_1516[[#This Row],[SAPSA Number]],Table1[SAPSA number],Table1[Surname])</f>
        <v>Hlongwane</v>
      </c>
      <c r="F26" s="28" t="str">
        <f>_xlfn.XLOOKUP(__xlnm._FilterDatabase_1516[[#This Row],[SAPSA Number]],Table1[SAPSA number],Table1[Initials])</f>
        <v>S</v>
      </c>
      <c r="G26" s="17" t="str">
        <f ca="1">_xlfn.XLOOKUP(__xlnm._FilterDatabase_1516[[#This Row],[SAPSA Number]],Table1[SAPSA number],Table1[Gender])</f>
        <v xml:space="preserve"> </v>
      </c>
      <c r="H26" s="19" t="e">
        <f>_xlfn.XLOOKUP(__xlnm._FilterDatabase_1516[[#This Row],[SAPSA Number]],#REF!,#REF!)</f>
        <v>#REF!</v>
      </c>
      <c r="I26" s="19" t="s">
        <v>235</v>
      </c>
      <c r="J26" s="21">
        <f t="shared" si="0"/>
        <v>0</v>
      </c>
      <c r="K26" s="22">
        <f t="shared" si="1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2"/>
        <v>2</v>
      </c>
      <c r="B27" s="40">
        <v>7271</v>
      </c>
      <c r="C27" s="25" t="str">
        <f>_xlfn.XLOOKUP(__xlnm._FilterDatabase_1516[[#This Row],[SAPSA Number]],Table1[SAPSA number],Table1[Paid up])</f>
        <v>Y</v>
      </c>
      <c r="D27" s="39" t="str">
        <f>_xlfn.XLOOKUP(__xlnm._FilterDatabase_1516[[#This Row],[SAPSA Number]],Table1[SAPSA number],Table1[Name])</f>
        <v>Johan</v>
      </c>
      <c r="E27" s="39" t="str">
        <f>_xlfn.XLOOKUP(__xlnm._FilterDatabase_1516[[#This Row],[SAPSA Number]],Table1[SAPSA number],Table1[Surname])</f>
        <v>Jacobs</v>
      </c>
      <c r="F27" s="28" t="str">
        <f>_xlfn.XLOOKUP(__xlnm._FilterDatabase_1516[[#This Row],[SAPSA Number]],Table1[SAPSA number],Table1[Initials])</f>
        <v>J</v>
      </c>
      <c r="G27" s="17" t="str">
        <f ca="1">_xlfn.XLOOKUP(__xlnm._FilterDatabase_1516[[#This Row],[SAPSA Number]],Table1[SAPSA number],Table1[Gender])</f>
        <v xml:space="preserve"> </v>
      </c>
      <c r="H27" s="19" t="e">
        <f>_xlfn.XLOOKUP(__xlnm._FilterDatabase_1516[[#This Row],[SAPSA Number]],#REF!,#REF!)</f>
        <v>#REF!</v>
      </c>
      <c r="I27" s="19" t="s">
        <v>235</v>
      </c>
      <c r="J27" s="21">
        <f t="shared" si="0"/>
        <v>0</v>
      </c>
      <c r="K27" s="22">
        <f t="shared" si="1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2"/>
        <v>2</v>
      </c>
      <c r="B28" s="25">
        <v>2655</v>
      </c>
      <c r="C28" s="25" t="str">
        <f>_xlfn.XLOOKUP(__xlnm._FilterDatabase_1516[[#This Row],[SAPSA Number]],Table1[SAPSA number],Table1[Paid up])</f>
        <v>Y</v>
      </c>
      <c r="D28" s="39" t="str">
        <f>_xlfn.XLOOKUP(__xlnm._FilterDatabase_1516[[#This Row],[SAPSA Number]],Table1[SAPSA number],Table1[Name])</f>
        <v>Ruben</v>
      </c>
      <c r="E28" s="39" t="str">
        <f>_xlfn.XLOOKUP(__xlnm._FilterDatabase_1516[[#This Row],[SAPSA Number]],Table1[SAPSA number],Table1[Surname])</f>
        <v>Joubert</v>
      </c>
      <c r="F28" s="28" t="str">
        <f>_xlfn.XLOOKUP(__xlnm._FilterDatabase_1516[[#This Row],[SAPSA Number]],Table1[SAPSA number],Table1[Initials])</f>
        <v>R</v>
      </c>
      <c r="G28" s="17" t="str">
        <f ca="1">_xlfn.XLOOKUP(__xlnm._FilterDatabase_1516[[#This Row],[SAPSA Number]],Table1[SAPSA number],Table1[Gender])</f>
        <v>Jnr</v>
      </c>
      <c r="H28" s="19" t="e">
        <f>_xlfn.XLOOKUP(__xlnm._FilterDatabase_1516[[#This Row],[SAPSA Number]],#REF!,#REF!)</f>
        <v>#REF!</v>
      </c>
      <c r="I28" s="19" t="s">
        <v>235</v>
      </c>
      <c r="J28" s="21">
        <f t="shared" si="0"/>
        <v>0</v>
      </c>
      <c r="K28" s="22">
        <f t="shared" si="1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2"/>
        <v>2</v>
      </c>
      <c r="B29" s="18">
        <v>3339</v>
      </c>
      <c r="C29" s="25" t="str">
        <f>_xlfn.XLOOKUP(__xlnm._FilterDatabase_1516[[#This Row],[SAPSA Number]],Table1[SAPSA number],Table1[Paid up])</f>
        <v>Y</v>
      </c>
      <c r="D29" s="39" t="str">
        <f>_xlfn.XLOOKUP(__xlnm._FilterDatabase_1516[[#This Row],[SAPSA Number]],Table1[SAPSA number],Table1[Name])</f>
        <v>Hendrik Johannes</v>
      </c>
      <c r="E29" s="39" t="str">
        <f>_xlfn.XLOOKUP(__xlnm._FilterDatabase_1516[[#This Row],[SAPSA Number]],Table1[SAPSA number],Table1[Surname])</f>
        <v>Joubert</v>
      </c>
      <c r="F29" s="28" t="str">
        <f>_xlfn.XLOOKUP(__xlnm._FilterDatabase_1516[[#This Row],[SAPSA Number]],Table1[SAPSA number],Table1[Initials])</f>
        <v>HJ</v>
      </c>
      <c r="G29" s="17" t="str">
        <f ca="1">_xlfn.XLOOKUP(__xlnm._FilterDatabase_1516[[#This Row],[SAPSA Number]],Table1[SAPSA number],Table1[Gender])</f>
        <v>S</v>
      </c>
      <c r="H29" s="19" t="e">
        <f>_xlfn.XLOOKUP(__xlnm._FilterDatabase_1516[[#This Row],[SAPSA Number]],#REF!,#REF!)</f>
        <v>#REF!</v>
      </c>
      <c r="I29" s="19" t="s">
        <v>235</v>
      </c>
      <c r="J29" s="21">
        <f t="shared" si="0"/>
        <v>0</v>
      </c>
      <c r="K29" s="22">
        <f t="shared" si="1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2"/>
        <v>2</v>
      </c>
      <c r="B30" s="25">
        <v>4094</v>
      </c>
      <c r="C30" s="25" t="str">
        <f>_xlfn.XLOOKUP(__xlnm._FilterDatabase_1516[[#This Row],[SAPSA Number]],Table1[SAPSA number],Table1[Paid up])</f>
        <v>Y</v>
      </c>
      <c r="D30" s="39" t="str">
        <f>_xlfn.XLOOKUP(__xlnm._FilterDatabase_1516[[#This Row],[SAPSA Number]],Table1[SAPSA number],Table1[Name])</f>
        <v>Johan</v>
      </c>
      <c r="E30" s="39" t="str">
        <f>_xlfn.XLOOKUP(__xlnm._FilterDatabase_1516[[#This Row],[SAPSA Number]],Table1[SAPSA number],Table1[Surname])</f>
        <v>Kemp</v>
      </c>
      <c r="F30" s="28" t="str">
        <f>_xlfn.XLOOKUP(__xlnm._FilterDatabase_1516[[#This Row],[SAPSA Number]],Table1[SAPSA number],Table1[Initials])</f>
        <v>J</v>
      </c>
      <c r="G30" s="17" t="str">
        <f ca="1">_xlfn.XLOOKUP(__xlnm._FilterDatabase_1516[[#This Row],[SAPSA Number]],Table1[SAPSA number],Table1[Gender])</f>
        <v xml:space="preserve"> </v>
      </c>
      <c r="H30" s="19" t="e">
        <f>_xlfn.XLOOKUP(__xlnm._FilterDatabase_1516[[#This Row],[SAPSA Number]],#REF!,#REF!)</f>
        <v>#REF!</v>
      </c>
      <c r="I30" s="19" t="s">
        <v>235</v>
      </c>
      <c r="J30" s="21">
        <f t="shared" si="0"/>
        <v>0</v>
      </c>
      <c r="K30" s="22">
        <f t="shared" si="1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2"/>
        <v>2</v>
      </c>
      <c r="B31" s="25">
        <v>7260</v>
      </c>
      <c r="C31" s="25">
        <f>_xlfn.XLOOKUP(__xlnm._FilterDatabase_1516[[#This Row],[SAPSA Number]],Table1[SAPSA number],Table1[Paid up])</f>
        <v>0</v>
      </c>
      <c r="D31" s="39" t="str">
        <f>_xlfn.XLOOKUP(__xlnm._FilterDatabase_1516[[#This Row],[SAPSA Number]],Table1[SAPSA number],Table1[Name])</f>
        <v>Glenn</v>
      </c>
      <c r="E31" s="39" t="str">
        <f>_xlfn.XLOOKUP(__xlnm._FilterDatabase_1516[[#This Row],[SAPSA Number]],Table1[SAPSA number],Table1[Surname])</f>
        <v>Kieser</v>
      </c>
      <c r="F31" s="28" t="str">
        <f>_xlfn.XLOOKUP(__xlnm._FilterDatabase_1516[[#This Row],[SAPSA Number]],Table1[SAPSA number],Table1[Initials])</f>
        <v>G</v>
      </c>
      <c r="G31" s="17" t="str">
        <f ca="1">_xlfn.XLOOKUP(__xlnm._FilterDatabase_1516[[#This Row],[SAPSA Number]],Table1[SAPSA number],Table1[Gender])</f>
        <v>SS</v>
      </c>
      <c r="H31" s="19" t="e">
        <f>_xlfn.XLOOKUP(__xlnm._FilterDatabase_1516[[#This Row],[SAPSA Number]],#REF!,#REF!)</f>
        <v>#REF!</v>
      </c>
      <c r="I31" s="19" t="s">
        <v>235</v>
      </c>
      <c r="J31" s="21">
        <f t="shared" si="0"/>
        <v>0</v>
      </c>
      <c r="K31" s="22">
        <f t="shared" si="1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2"/>
        <v>2</v>
      </c>
      <c r="B32" s="25">
        <v>252</v>
      </c>
      <c r="C32" s="25" t="str">
        <f>_xlfn.XLOOKUP(__xlnm._FilterDatabase_1516[[#This Row],[SAPSA Number]],Table1[SAPSA number],Table1[Paid up])</f>
        <v>Y</v>
      </c>
      <c r="D32" s="39" t="str">
        <f>_xlfn.XLOOKUP(__xlnm._FilterDatabase_1516[[#This Row],[SAPSA Number]],Table1[SAPSA number],Table1[Name])</f>
        <v>Deon</v>
      </c>
      <c r="E32" s="39" t="str">
        <f>_xlfn.XLOOKUP(__xlnm._FilterDatabase_1516[[#This Row],[SAPSA Number]],Table1[SAPSA number],Table1[Surname])</f>
        <v>Labuschagne</v>
      </c>
      <c r="F32" s="28" t="str">
        <f>_xlfn.XLOOKUP(__xlnm._FilterDatabase_1516[[#This Row],[SAPSA Number]],Table1[SAPSA number],Table1[Initials])</f>
        <v>D</v>
      </c>
      <c r="G32" s="17" t="str">
        <f ca="1">_xlfn.XLOOKUP(__xlnm._FilterDatabase_1516[[#This Row],[SAPSA Number]],Table1[SAPSA number],Table1[Gender])</f>
        <v>GS</v>
      </c>
      <c r="H32" s="19" t="e">
        <f>_xlfn.XLOOKUP(__xlnm._FilterDatabase_1516[[#This Row],[SAPSA Number]],#REF!,#REF!)</f>
        <v>#REF!</v>
      </c>
      <c r="I32" s="19" t="s">
        <v>235</v>
      </c>
      <c r="J32" s="21">
        <f t="shared" si="0"/>
        <v>0</v>
      </c>
      <c r="K32" s="22">
        <f t="shared" si="1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2"/>
        <v>2</v>
      </c>
      <c r="B33" s="18">
        <v>2651</v>
      </c>
      <c r="C33" s="25" t="str">
        <f>_xlfn.XLOOKUP(__xlnm._FilterDatabase_1516[[#This Row],[SAPSA Number]],Table1[SAPSA number],Table1[Paid up])</f>
        <v>Y</v>
      </c>
      <c r="D33" s="39" t="str">
        <f>_xlfn.XLOOKUP(__xlnm._FilterDatabase_1516[[#This Row],[SAPSA Number]],Table1[SAPSA number],Table1[Name])</f>
        <v>Paul Herman</v>
      </c>
      <c r="E33" s="39" t="str">
        <f>_xlfn.XLOOKUP(__xlnm._FilterDatabase_1516[[#This Row],[SAPSA Number]],Table1[SAPSA number],Table1[Surname])</f>
        <v>Leuschner</v>
      </c>
      <c r="F33" s="28" t="str">
        <f>_xlfn.XLOOKUP(__xlnm._FilterDatabase_1516[[#This Row],[SAPSA Number]],Table1[SAPSA number],Table1[Initials])</f>
        <v>PH</v>
      </c>
      <c r="G33" s="17" t="str">
        <f ca="1">_xlfn.XLOOKUP(__xlnm._FilterDatabase_1516[[#This Row],[SAPSA Number]],Table1[SAPSA number],Table1[Gender])</f>
        <v>S</v>
      </c>
      <c r="H33" s="19" t="e">
        <f>_xlfn.XLOOKUP(__xlnm._FilterDatabase_1516[[#This Row],[SAPSA Number]],#REF!,#REF!)</f>
        <v>#REF!</v>
      </c>
      <c r="I33" s="19" t="s">
        <v>235</v>
      </c>
      <c r="J33" s="21">
        <f t="shared" si="0"/>
        <v>0</v>
      </c>
      <c r="K33" s="22">
        <f t="shared" si="1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2"/>
        <v>2</v>
      </c>
      <c r="B34" s="25">
        <v>683</v>
      </c>
      <c r="C34" s="25">
        <f>_xlfn.XLOOKUP(__xlnm._FilterDatabase_1516[[#This Row],[SAPSA Number]],Table1[SAPSA number],Table1[Paid up])</f>
        <v>0</v>
      </c>
      <c r="D34" s="39" t="str">
        <f>_xlfn.XLOOKUP(__xlnm._FilterDatabase_1516[[#This Row],[SAPSA Number]],Table1[SAPSA number],Table1[Name])</f>
        <v>Ivor</v>
      </c>
      <c r="E34" s="39" t="str">
        <f>_xlfn.XLOOKUP(__xlnm._FilterDatabase_1516[[#This Row],[SAPSA Number]],Table1[SAPSA number],Table1[Surname])</f>
        <v>Marais</v>
      </c>
      <c r="F34" s="28" t="str">
        <f>_xlfn.XLOOKUP(__xlnm._FilterDatabase_1516[[#This Row],[SAPSA Number]],Table1[SAPSA number],Table1[Initials])</f>
        <v>I</v>
      </c>
      <c r="G34" s="17" t="str">
        <f ca="1">_xlfn.XLOOKUP(__xlnm._FilterDatabase_1516[[#This Row],[SAPSA Number]],Table1[SAPSA number],Table1[Gender])</f>
        <v>S</v>
      </c>
      <c r="H34" s="19" t="e">
        <f>_xlfn.XLOOKUP(__xlnm._FilterDatabase_1516[[#This Row],[SAPSA Number]],#REF!,#REF!)</f>
        <v>#REF!</v>
      </c>
      <c r="I34" s="19" t="s">
        <v>235</v>
      </c>
      <c r="J34" s="21">
        <f t="shared" ref="J34:J66" si="3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4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2"/>
        <v>2</v>
      </c>
      <c r="B35" s="39">
        <v>4862</v>
      </c>
      <c r="C35" s="25" t="str">
        <f>_xlfn.XLOOKUP(__xlnm._FilterDatabase_1516[[#This Row],[SAPSA Number]],Table1[SAPSA number],Table1[Paid up])</f>
        <v>Y</v>
      </c>
      <c r="D35" s="39" t="str">
        <f>_xlfn.XLOOKUP(__xlnm._FilterDatabase_1516[[#This Row],[SAPSA Number]],Table1[SAPSA number],Table1[Name])</f>
        <v>George Keith</v>
      </c>
      <c r="E35" s="39" t="str">
        <f>_xlfn.XLOOKUP(__xlnm._FilterDatabase_1516[[#This Row],[SAPSA Number]],Table1[SAPSA number],Table1[Surname])</f>
        <v>Marais</v>
      </c>
      <c r="F35" s="28" t="str">
        <f>_xlfn.XLOOKUP(__xlnm._FilterDatabase_1516[[#This Row],[SAPSA Number]],Table1[SAPSA number],Table1[Initials])</f>
        <v>GK</v>
      </c>
      <c r="G35" s="17" t="str">
        <f ca="1">_xlfn.XLOOKUP(__xlnm._FilterDatabase_1516[[#This Row],[SAPSA Number]],Table1[SAPSA number],Table1[Gender])</f>
        <v>S</v>
      </c>
      <c r="H35" s="19" t="e">
        <f>_xlfn.XLOOKUP(__xlnm._FilterDatabase_1516[[#This Row],[SAPSA Number]],#REF!,#REF!)</f>
        <v>#REF!</v>
      </c>
      <c r="I35" s="19" t="s">
        <v>235</v>
      </c>
      <c r="J35" s="21">
        <f t="shared" si="3"/>
        <v>0</v>
      </c>
      <c r="K35" s="22">
        <f t="shared" si="4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2"/>
        <v>2</v>
      </c>
      <c r="B36" s="18">
        <v>6966</v>
      </c>
      <c r="C36" s="25" t="str">
        <f>_xlfn.XLOOKUP(__xlnm._FilterDatabase_1516[[#This Row],[SAPSA Number]],Table1[SAPSA number],Table1[Paid up])</f>
        <v>Y</v>
      </c>
      <c r="D36" s="39" t="str">
        <f>_xlfn.XLOOKUP(__xlnm._FilterDatabase_1516[[#This Row],[SAPSA Number]],Table1[SAPSA number],Table1[Name])</f>
        <v>James</v>
      </c>
      <c r="E36" s="39" t="str">
        <f>_xlfn.XLOOKUP(__xlnm._FilterDatabase_1516[[#This Row],[SAPSA Number]],Table1[SAPSA number],Table1[Surname])</f>
        <v>Masonganye</v>
      </c>
      <c r="F36" s="28" t="str">
        <f>_xlfn.XLOOKUP(__xlnm._FilterDatabase_1516[[#This Row],[SAPSA Number]],Table1[SAPSA number],Table1[Initials])</f>
        <v>J</v>
      </c>
      <c r="G36" s="17" t="str">
        <f ca="1">_xlfn.XLOOKUP(__xlnm._FilterDatabase_1516[[#This Row],[SAPSA Number]],Table1[SAPSA number],Table1[Gender])</f>
        <v>S</v>
      </c>
      <c r="H36" s="19" t="e">
        <f>_xlfn.XLOOKUP(__xlnm._FilterDatabase_1516[[#This Row],[SAPSA Number]],#REF!,#REF!)</f>
        <v>#REF!</v>
      </c>
      <c r="I36" s="19" t="s">
        <v>235</v>
      </c>
      <c r="J36" s="21">
        <f t="shared" si="3"/>
        <v>0</v>
      </c>
      <c r="K36" s="22">
        <f t="shared" si="4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2"/>
        <v>2</v>
      </c>
      <c r="B37" s="18">
        <v>7132</v>
      </c>
      <c r="C37" s="25" t="str">
        <f>_xlfn.XLOOKUP(__xlnm._FilterDatabase_1516[[#This Row],[SAPSA Number]],Table1[SAPSA number],Table1[Paid up])</f>
        <v>Y</v>
      </c>
      <c r="D37" s="39" t="str">
        <f>_xlfn.XLOOKUP(__xlnm._FilterDatabase_1516[[#This Row],[SAPSA Number]],Table1[SAPSA number],Table1[Name])</f>
        <v>Yussuf</v>
      </c>
      <c r="E37" s="39" t="str">
        <f>_xlfn.XLOOKUP(__xlnm._FilterDatabase_1516[[#This Row],[SAPSA Number]],Table1[SAPSA number],Table1[Surname])</f>
        <v>Mayet</v>
      </c>
      <c r="F37" s="28" t="str">
        <f>_xlfn.XLOOKUP(__xlnm._FilterDatabase_1516[[#This Row],[SAPSA Number]],Table1[SAPSA number],Table1[Initials])</f>
        <v>Y</v>
      </c>
      <c r="G37" s="17" t="str">
        <f ca="1">_xlfn.XLOOKUP(__xlnm._FilterDatabase_1516[[#This Row],[SAPSA Number]],Table1[SAPSA number],Table1[Gender])</f>
        <v>GS</v>
      </c>
      <c r="H37" s="19" t="e">
        <f>_xlfn.XLOOKUP(__xlnm._FilterDatabase_1516[[#This Row],[SAPSA Number]],#REF!,#REF!)</f>
        <v>#REF!</v>
      </c>
      <c r="I37" s="19" t="s">
        <v>235</v>
      </c>
      <c r="J37" s="21">
        <f t="shared" si="3"/>
        <v>0</v>
      </c>
      <c r="K37" s="22">
        <f t="shared" si="4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2"/>
        <v>2</v>
      </c>
      <c r="B38" s="25">
        <v>851</v>
      </c>
      <c r="C38" s="25" t="str">
        <f>_xlfn.XLOOKUP(__xlnm._FilterDatabase_1516[[#This Row],[SAPSA Number]],Table1[SAPSA number],Table1[Paid up])</f>
        <v>Y</v>
      </c>
      <c r="D38" s="39" t="str">
        <f>_xlfn.XLOOKUP(__xlnm._FilterDatabase_1516[[#This Row],[SAPSA Number]],Table1[SAPSA number],Table1[Name])</f>
        <v>Ian David</v>
      </c>
      <c r="E38" s="39" t="str">
        <f>_xlfn.XLOOKUP(__xlnm._FilterDatabase_1516[[#This Row],[SAPSA Number]],Table1[SAPSA number],Table1[Surname])</f>
        <v>McLaren</v>
      </c>
      <c r="F38" s="28" t="str">
        <f>_xlfn.XLOOKUP(__xlnm._FilterDatabase_1516[[#This Row],[SAPSA Number]],Table1[SAPSA number],Table1[Initials])</f>
        <v>ID</v>
      </c>
      <c r="G38" s="17" t="str">
        <f ca="1">_xlfn.XLOOKUP(__xlnm._FilterDatabase_1516[[#This Row],[SAPSA Number]],Table1[SAPSA number],Table1[Gender])</f>
        <v>SS</v>
      </c>
      <c r="H38" s="19" t="e">
        <f>_xlfn.XLOOKUP(__xlnm._FilterDatabase_1516[[#This Row],[SAPSA Number]],#REF!,#REF!)</f>
        <v>#REF!</v>
      </c>
      <c r="I38" s="19" t="s">
        <v>235</v>
      </c>
      <c r="J38" s="21">
        <f t="shared" si="3"/>
        <v>0</v>
      </c>
      <c r="K38" s="22">
        <f t="shared" si="4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2"/>
        <v>2</v>
      </c>
      <c r="B39" s="26">
        <v>5200</v>
      </c>
      <c r="C39" s="25">
        <f>_xlfn.XLOOKUP(__xlnm._FilterDatabase_1516[[#This Row],[SAPSA Number]],Table1[SAPSA number],Table1[Paid up])</f>
        <v>0</v>
      </c>
      <c r="D39" s="39" t="str">
        <f>_xlfn.XLOOKUP(__xlnm._FilterDatabase_1516[[#This Row],[SAPSA Number]],Table1[SAPSA number],Table1[Name])</f>
        <v>Daniel</v>
      </c>
      <c r="E39" s="39" t="str">
        <f>_xlfn.XLOOKUP(__xlnm._FilterDatabase_1516[[#This Row],[SAPSA Number]],Table1[SAPSA number],Table1[Surname])</f>
        <v>McWilliam</v>
      </c>
      <c r="F39" s="28" t="str">
        <f>_xlfn.XLOOKUP(__xlnm._FilterDatabase_1516[[#This Row],[SAPSA Number]],Table1[SAPSA number],Table1[Initials])</f>
        <v>D</v>
      </c>
      <c r="G39" s="17" t="str">
        <f ca="1">_xlfn.XLOOKUP(__xlnm._FilterDatabase_1516[[#This Row],[SAPSA Number]],Table1[SAPSA number],Table1[Gender])</f>
        <v xml:space="preserve"> </v>
      </c>
      <c r="H39" s="19" t="e">
        <f>_xlfn.XLOOKUP(__xlnm._FilterDatabase_1516[[#This Row],[SAPSA Number]],#REF!,#REF!)</f>
        <v>#REF!</v>
      </c>
      <c r="I39" s="19" t="s">
        <v>235</v>
      </c>
      <c r="J39" s="21">
        <f t="shared" si="3"/>
        <v>0</v>
      </c>
      <c r="K39" s="22">
        <f t="shared" si="4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ref="A40:A66" si="5">RANK(K40,K$2:K$139,0)</f>
        <v>2</v>
      </c>
      <c r="B40" s="26">
        <v>1771</v>
      </c>
      <c r="C40" s="25" t="str">
        <f>_xlfn.XLOOKUP(__xlnm._FilterDatabase_1516[[#This Row],[SAPSA Number]],Table1[SAPSA number],Table1[Paid up])</f>
        <v>Y</v>
      </c>
      <c r="D40" s="39" t="str">
        <f>_xlfn.XLOOKUP(__xlnm._FilterDatabase_1516[[#This Row],[SAPSA Number]],Table1[SAPSA number],Table1[Name])</f>
        <v>Rodney Ralph</v>
      </c>
      <c r="E40" s="39" t="str">
        <f>_xlfn.XLOOKUP(__xlnm._FilterDatabase_1516[[#This Row],[SAPSA Number]],Table1[SAPSA number],Table1[Surname])</f>
        <v>Mills</v>
      </c>
      <c r="F40" s="28" t="str">
        <f>_xlfn.XLOOKUP(__xlnm._FilterDatabase_1516[[#This Row],[SAPSA Number]],Table1[SAPSA number],Table1[Initials])</f>
        <v>RR</v>
      </c>
      <c r="G40" s="17" t="str">
        <f ca="1">_xlfn.XLOOKUP(__xlnm._FilterDatabase_1516[[#This Row],[SAPSA Number]],Table1[SAPSA number],Table1[Gender])</f>
        <v>GS</v>
      </c>
      <c r="H40" s="19" t="e">
        <f>_xlfn.XLOOKUP(__xlnm._FilterDatabase_1516[[#This Row],[SAPSA Number]],#REF!,#REF!)</f>
        <v>#REF!</v>
      </c>
      <c r="I40" s="19" t="s">
        <v>235</v>
      </c>
      <c r="J40" s="21">
        <f t="shared" si="3"/>
        <v>0</v>
      </c>
      <c r="K40" s="22">
        <f t="shared" si="4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si="5"/>
        <v>2</v>
      </c>
      <c r="B41" s="26">
        <v>1637</v>
      </c>
      <c r="C41" s="25">
        <f>_xlfn.XLOOKUP(__xlnm._FilterDatabase_1516[[#This Row],[SAPSA Number]],Table1[SAPSA number],Table1[Paid up])</f>
        <v>0</v>
      </c>
      <c r="D41" s="39" t="str">
        <f>_xlfn.XLOOKUP(__xlnm._FilterDatabase_1516[[#This Row],[SAPSA Number]],Table1[SAPSA number],Table1[Name])</f>
        <v>Andre Johann Pieter</v>
      </c>
      <c r="E41" s="39" t="str">
        <f>_xlfn.XLOOKUP(__xlnm._FilterDatabase_1516[[#This Row],[SAPSA Number]],Table1[SAPSA number],Table1[Surname])</f>
        <v>Mouton</v>
      </c>
      <c r="F41" s="28" t="str">
        <f>_xlfn.XLOOKUP(__xlnm._FilterDatabase_1516[[#This Row],[SAPSA Number]],Table1[SAPSA number],Table1[Initials])</f>
        <v>AJP</v>
      </c>
      <c r="G41" s="17" t="str">
        <f ca="1">_xlfn.XLOOKUP(__xlnm._FilterDatabase_1516[[#This Row],[SAPSA Number]],Table1[SAPSA number],Table1[Gender])</f>
        <v>GS</v>
      </c>
      <c r="H41" s="19" t="e">
        <f>_xlfn.XLOOKUP(__xlnm._FilterDatabase_1516[[#This Row],[SAPSA Number]],#REF!,#REF!)</f>
        <v>#REF!</v>
      </c>
      <c r="I41" s="19" t="s">
        <v>235</v>
      </c>
      <c r="J41" s="21">
        <f t="shared" si="3"/>
        <v>0</v>
      </c>
      <c r="K41" s="22">
        <f t="shared" si="4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 t="shared" si="5"/>
        <v>2</v>
      </c>
      <c r="B42" s="40">
        <v>1777</v>
      </c>
      <c r="C42" s="25" t="str">
        <f>_xlfn.XLOOKUP(__xlnm._FilterDatabase_1516[[#This Row],[SAPSA Number]],Table1[SAPSA number],Table1[Paid up])</f>
        <v>Y</v>
      </c>
      <c r="D42" s="39" t="str">
        <f>_xlfn.XLOOKUP(__xlnm._FilterDatabase_1516[[#This Row],[SAPSA Number]],Table1[SAPSA number],Table1[Name])</f>
        <v xml:space="preserve">Leon </v>
      </c>
      <c r="E42" s="39" t="str">
        <f>_xlfn.XLOOKUP(__xlnm._FilterDatabase_1516[[#This Row],[SAPSA Number]],Table1[SAPSA number],Table1[Surname])</f>
        <v>Myburgh</v>
      </c>
      <c r="F42" s="28" t="str">
        <f>_xlfn.XLOOKUP(__xlnm._FilterDatabase_1516[[#This Row],[SAPSA Number]],Table1[SAPSA number],Table1[Initials])</f>
        <v>LC</v>
      </c>
      <c r="G42" s="17" t="str">
        <f ca="1">_xlfn.XLOOKUP(__xlnm._FilterDatabase_1516[[#This Row],[SAPSA Number]],Table1[SAPSA number],Table1[Gender])</f>
        <v>S</v>
      </c>
      <c r="H42" s="19" t="e">
        <f>_xlfn.XLOOKUP(__xlnm._FilterDatabase_1516[[#This Row],[SAPSA Number]],#REF!,#REF!)</f>
        <v>#REF!</v>
      </c>
      <c r="I42" s="19" t="s">
        <v>235</v>
      </c>
      <c r="J42" s="21">
        <f t="shared" si="3"/>
        <v>0</v>
      </c>
      <c r="K42" s="22">
        <f t="shared" si="4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5"/>
        <v>2</v>
      </c>
      <c r="B43" s="25">
        <v>5804</v>
      </c>
      <c r="C43" s="25" t="str">
        <f>_xlfn.XLOOKUP(__xlnm._FilterDatabase_1516[[#This Row],[SAPSA Number]],Table1[SAPSA number],Table1[Paid up])</f>
        <v>Y</v>
      </c>
      <c r="D43" s="39" t="str">
        <f>_xlfn.XLOOKUP(__xlnm._FilterDatabase_1516[[#This Row],[SAPSA Number]],Table1[SAPSA number],Table1[Name])</f>
        <v>Louis Johannes</v>
      </c>
      <c r="E43" s="39" t="str">
        <f>_xlfn.XLOOKUP(__xlnm._FilterDatabase_1516[[#This Row],[SAPSA Number]],Table1[SAPSA number],Table1[Surname])</f>
        <v>Nel</v>
      </c>
      <c r="F43" s="28" t="str">
        <f>_xlfn.XLOOKUP(__xlnm._FilterDatabase_1516[[#This Row],[SAPSA Number]],Table1[SAPSA number],Table1[Initials])</f>
        <v>LJ</v>
      </c>
      <c r="G43" s="17" t="str">
        <f ca="1">_xlfn.XLOOKUP(__xlnm._FilterDatabase_1516[[#This Row],[SAPSA Number]],Table1[SAPSA number],Table1[Gender])</f>
        <v xml:space="preserve"> </v>
      </c>
      <c r="H43" s="19" t="e">
        <f>_xlfn.XLOOKUP(__xlnm._FilterDatabase_1516[[#This Row],[SAPSA Number]],#REF!,#REF!)</f>
        <v>#REF!</v>
      </c>
      <c r="I43" s="19" t="s">
        <v>235</v>
      </c>
      <c r="J43" s="21">
        <f t="shared" si="3"/>
        <v>0</v>
      </c>
      <c r="K43" s="22">
        <f t="shared" si="4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5"/>
        <v>2</v>
      </c>
      <c r="B44" s="26">
        <v>250</v>
      </c>
      <c r="C44" s="25">
        <f>_xlfn.XLOOKUP(__xlnm._FilterDatabase_1516[[#This Row],[SAPSA Number]],Table1[SAPSA number],Table1[Paid up])</f>
        <v>0</v>
      </c>
      <c r="D44" s="39" t="str">
        <f>_xlfn.XLOOKUP(__xlnm._FilterDatabase_1516[[#This Row],[SAPSA Number]],Table1[SAPSA number],Table1[Name])</f>
        <v>Adriano Walter</v>
      </c>
      <c r="E44" s="39" t="str">
        <f>_xlfn.XLOOKUP(__xlnm._FilterDatabase_1516[[#This Row],[SAPSA Number]],Table1[SAPSA number],Table1[Surname])</f>
        <v>Paschini</v>
      </c>
      <c r="F44" s="28" t="str">
        <f>_xlfn.XLOOKUP(__xlnm._FilterDatabase_1516[[#This Row],[SAPSA Number]],Table1[SAPSA number],Table1[Initials])</f>
        <v>AW</v>
      </c>
      <c r="G44" s="17" t="str">
        <f ca="1">_xlfn.XLOOKUP(__xlnm._FilterDatabase_1516[[#This Row],[SAPSA Number]],Table1[SAPSA number],Table1[Gender])</f>
        <v>SS</v>
      </c>
      <c r="H44" s="19" t="e">
        <f>_xlfn.XLOOKUP(__xlnm._FilterDatabase_1516[[#This Row],[SAPSA Number]],#REF!,#REF!)</f>
        <v>#REF!</v>
      </c>
      <c r="I44" s="19" t="s">
        <v>235</v>
      </c>
      <c r="J44" s="21">
        <f t="shared" si="3"/>
        <v>0</v>
      </c>
      <c r="K44" s="22">
        <f t="shared" si="4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5"/>
        <v>2</v>
      </c>
      <c r="B45" s="25">
        <v>6633</v>
      </c>
      <c r="C45" s="25">
        <f>_xlfn.XLOOKUP(__xlnm._FilterDatabase_1516[[#This Row],[SAPSA Number]],Table1[SAPSA number],Table1[Paid up])</f>
        <v>0</v>
      </c>
      <c r="D45" s="39" t="str">
        <f>_xlfn.XLOOKUP(__xlnm._FilterDatabase_1516[[#This Row],[SAPSA Number]],Table1[SAPSA number],Table1[Name])</f>
        <v>Allessandro Raffaele</v>
      </c>
      <c r="E45" s="39" t="str">
        <f>_xlfn.XLOOKUP(__xlnm._FilterDatabase_1516[[#This Row],[SAPSA Number]],Table1[SAPSA number],Table1[Surname])</f>
        <v>Paschini</v>
      </c>
      <c r="F45" s="28" t="str">
        <f>_xlfn.XLOOKUP(__xlnm._FilterDatabase_1516[[#This Row],[SAPSA Number]],Table1[SAPSA number],Table1[Initials])</f>
        <v>AR</v>
      </c>
      <c r="G45" s="17" t="str">
        <f ca="1">_xlfn.XLOOKUP(__xlnm._FilterDatabase_1516[[#This Row],[SAPSA Number]],Table1[SAPSA number],Table1[Gender])</f>
        <v xml:space="preserve"> </v>
      </c>
      <c r="H45" s="19" t="e">
        <f>_xlfn.XLOOKUP(__xlnm._FilterDatabase_1516[[#This Row],[SAPSA Number]],#REF!,#REF!)</f>
        <v>#REF!</v>
      </c>
      <c r="I45" s="19" t="s">
        <v>235</v>
      </c>
      <c r="J45" s="21">
        <f t="shared" si="3"/>
        <v>0</v>
      </c>
      <c r="K45" s="22">
        <f t="shared" si="4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5"/>
        <v>2</v>
      </c>
      <c r="B46" s="25">
        <v>7478</v>
      </c>
      <c r="C46" s="25">
        <f>_xlfn.XLOOKUP(__xlnm._FilterDatabase_1516[[#This Row],[SAPSA Number]],Table1[SAPSA number],Table1[Paid up])</f>
        <v>0</v>
      </c>
      <c r="D46" s="39" t="str">
        <f>_xlfn.XLOOKUP(__xlnm._FilterDatabase_1516[[#This Row],[SAPSA Number]],Table1[SAPSA number],Table1[Name])</f>
        <v>Annemarie</v>
      </c>
      <c r="E46" s="39" t="str">
        <f>_xlfn.XLOOKUP(__xlnm._FilterDatabase_1516[[#This Row],[SAPSA Number]],Table1[SAPSA number],Table1[Surname])</f>
        <v>Pienaar</v>
      </c>
      <c r="F46" s="28" t="str">
        <f>_xlfn.XLOOKUP(__xlnm._FilterDatabase_1516[[#This Row],[SAPSA Number]],Table1[SAPSA number],Table1[Initials])</f>
        <v>A</v>
      </c>
      <c r="G46" s="17" t="str">
        <f>_xlfn.XLOOKUP(__xlnm._FilterDatabase_1516[[#This Row],[SAPSA Number]],Table1[SAPSA number],Table1[Gender])</f>
        <v>Lady</v>
      </c>
      <c r="H46" s="19" t="e">
        <f>_xlfn.XLOOKUP(__xlnm._FilterDatabase_1516[[#This Row],[SAPSA Number]],#REF!,#REF!)</f>
        <v>#REF!</v>
      </c>
      <c r="I46" s="19" t="s">
        <v>235</v>
      </c>
      <c r="J46" s="21">
        <f t="shared" si="3"/>
        <v>0</v>
      </c>
      <c r="K46" s="22">
        <f t="shared" si="4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5"/>
        <v>2</v>
      </c>
      <c r="B47" s="25">
        <v>2950</v>
      </c>
      <c r="C47" s="25">
        <f>_xlfn.XLOOKUP(__xlnm._FilterDatabase_1516[[#This Row],[SAPSA Number]],Table1[SAPSA number],Table1[Paid up])</f>
        <v>0</v>
      </c>
      <c r="D47" s="39" t="str">
        <f>_xlfn.XLOOKUP(__xlnm._FilterDatabase_1516[[#This Row],[SAPSA Number]],Table1[SAPSA number],Table1[Name])</f>
        <v>Renier Jansen</v>
      </c>
      <c r="E47" s="39" t="str">
        <f>_xlfn.XLOOKUP(__xlnm._FilterDatabase_1516[[#This Row],[SAPSA Number]],Table1[SAPSA number],Table1[Surname])</f>
        <v>Reynders</v>
      </c>
      <c r="F47" s="28" t="str">
        <f>_xlfn.XLOOKUP(__xlnm._FilterDatabase_1516[[#This Row],[SAPSA Number]],Table1[SAPSA number],Table1[Initials])</f>
        <v>RJ</v>
      </c>
      <c r="G47" s="17" t="str">
        <f ca="1">_xlfn.XLOOKUP(__xlnm._FilterDatabase_1516[[#This Row],[SAPSA Number]],Table1[SAPSA number],Table1[Gender])</f>
        <v xml:space="preserve"> </v>
      </c>
      <c r="H47" s="19" t="e">
        <f>_xlfn.XLOOKUP(__xlnm._FilterDatabase_1516[[#This Row],[SAPSA Number]],#REF!,#REF!)</f>
        <v>#REF!</v>
      </c>
      <c r="I47" s="19" t="s">
        <v>235</v>
      </c>
      <c r="J47" s="21">
        <f t="shared" si="3"/>
        <v>0</v>
      </c>
      <c r="K47" s="22">
        <f t="shared" si="4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3">
      <c r="A48" s="17">
        <f t="shared" si="5"/>
        <v>2</v>
      </c>
      <c r="B48" s="25">
        <v>1929</v>
      </c>
      <c r="C48" s="25">
        <f>_xlfn.XLOOKUP(__xlnm._FilterDatabase_1516[[#This Row],[SAPSA Number]],Table1[SAPSA number],Table1[Paid up])</f>
        <v>0</v>
      </c>
      <c r="D48" s="39" t="str">
        <f>_xlfn.XLOOKUP(__xlnm._FilterDatabase_1516[[#This Row],[SAPSA Number]],Table1[SAPSA number],Table1[Name])</f>
        <v>Chris</v>
      </c>
      <c r="E48" s="39" t="str">
        <f>_xlfn.XLOOKUP(__xlnm._FilterDatabase_1516[[#This Row],[SAPSA Number]],Table1[SAPSA number],Table1[Surname])</f>
        <v>Ridout</v>
      </c>
      <c r="F48" s="28" t="str">
        <f>_xlfn.XLOOKUP(__xlnm._FilterDatabase_1516[[#This Row],[SAPSA Number]],Table1[SAPSA number],Table1[Initials])</f>
        <v>CJ</v>
      </c>
      <c r="G48" s="17" t="str">
        <f ca="1">_xlfn.XLOOKUP(__xlnm._FilterDatabase_1516[[#This Row],[SAPSA Number]],Table1[SAPSA number],Table1[Gender])</f>
        <v xml:space="preserve"> </v>
      </c>
      <c r="H48" s="19" t="e">
        <f>_xlfn.XLOOKUP(__xlnm._FilterDatabase_1516[[#This Row],[SAPSA Number]],#REF!,#REF!)</f>
        <v>#REF!</v>
      </c>
      <c r="I48" s="19" t="s">
        <v>235</v>
      </c>
      <c r="J48" s="21">
        <f t="shared" si="3"/>
        <v>0</v>
      </c>
      <c r="K48" s="22">
        <f t="shared" si="4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5"/>
        <v>2</v>
      </c>
      <c r="B49" s="25">
        <v>3822</v>
      </c>
      <c r="C49" s="25" t="str">
        <f>_xlfn.XLOOKUP(__xlnm._FilterDatabase_1516[[#This Row],[SAPSA Number]],Table1[SAPSA number],Table1[Paid up])</f>
        <v>Y</v>
      </c>
      <c r="D49" s="39" t="str">
        <f>_xlfn.XLOOKUP(__xlnm._FilterDatabase_1516[[#This Row],[SAPSA Number]],Table1[SAPSA number],Table1[Name])</f>
        <v>Wayne Erald</v>
      </c>
      <c r="E49" s="39" t="str">
        <f>_xlfn.XLOOKUP(__xlnm._FilterDatabase_1516[[#This Row],[SAPSA Number]],Table1[SAPSA number],Table1[Surname])</f>
        <v>Schmidt</v>
      </c>
      <c r="F49" s="28" t="str">
        <f>_xlfn.XLOOKUP(__xlnm._FilterDatabase_1516[[#This Row],[SAPSA Number]],Table1[SAPSA number],Table1[Initials])</f>
        <v>WE</v>
      </c>
      <c r="G49" s="17" t="str">
        <f ca="1">_xlfn.XLOOKUP(__xlnm._FilterDatabase_1516[[#This Row],[SAPSA Number]],Table1[SAPSA number],Table1[Gender])</f>
        <v>S</v>
      </c>
      <c r="H49" s="19" t="e">
        <f>_xlfn.XLOOKUP(__xlnm._FilterDatabase_1516[[#This Row],[SAPSA Number]],#REF!,#REF!)</f>
        <v>#REF!</v>
      </c>
      <c r="I49" s="19" t="s">
        <v>235</v>
      </c>
      <c r="J49" s="21">
        <f t="shared" si="3"/>
        <v>0</v>
      </c>
      <c r="K49" s="22">
        <f t="shared" si="4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5"/>
        <v>2</v>
      </c>
      <c r="B50" s="25">
        <v>4966</v>
      </c>
      <c r="C50" s="25" t="str">
        <f>_xlfn.XLOOKUP(__xlnm._FilterDatabase_1516[[#This Row],[SAPSA Number]],Table1[SAPSA number],Table1[Paid up])</f>
        <v>Y</v>
      </c>
      <c r="D50" s="39" t="str">
        <f>_xlfn.XLOOKUP(__xlnm._FilterDatabase_1516[[#This Row],[SAPSA Number]],Table1[SAPSA number],Table1[Name])</f>
        <v>Costantinos</v>
      </c>
      <c r="E50" s="39" t="str">
        <f>_xlfn.XLOOKUP(__xlnm._FilterDatabase_1516[[#This Row],[SAPSA Number]],Table1[SAPSA number],Table1[Surname])</f>
        <v>Seindis</v>
      </c>
      <c r="F50" s="28" t="str">
        <f>_xlfn.XLOOKUP(__xlnm._FilterDatabase_1516[[#This Row],[SAPSA Number]],Table1[SAPSA number],Table1[Initials])</f>
        <v>C</v>
      </c>
      <c r="G50" s="17" t="str">
        <f ca="1">_xlfn.XLOOKUP(__xlnm._FilterDatabase_1516[[#This Row],[SAPSA Number]],Table1[SAPSA number],Table1[Gender])</f>
        <v xml:space="preserve"> </v>
      </c>
      <c r="H50" s="19" t="e">
        <f>_xlfn.XLOOKUP(__xlnm._FilterDatabase_1516[[#This Row],[SAPSA Number]],#REF!,#REF!)</f>
        <v>#REF!</v>
      </c>
      <c r="I50" s="19" t="s">
        <v>235</v>
      </c>
      <c r="J50" s="21">
        <f t="shared" si="3"/>
        <v>0</v>
      </c>
      <c r="K50" s="22">
        <f t="shared" si="4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5"/>
        <v>2</v>
      </c>
      <c r="B51" s="25">
        <v>572</v>
      </c>
      <c r="C51" s="25" t="str">
        <f>_xlfn.XLOOKUP(__xlnm._FilterDatabase_1516[[#This Row],[SAPSA Number]],Table1[SAPSA number],Table1[Paid up])</f>
        <v>Y</v>
      </c>
      <c r="D51" s="39" t="str">
        <f>_xlfn.XLOOKUP(__xlnm._FilterDatabase_1516[[#This Row],[SAPSA Number]],Table1[SAPSA number],Table1[Name])</f>
        <v>DJ</v>
      </c>
      <c r="E51" s="39" t="str">
        <f>_xlfn.XLOOKUP(__xlnm._FilterDatabase_1516[[#This Row],[SAPSA Number]],Table1[SAPSA number],Table1[Surname])</f>
        <v>Smith</v>
      </c>
      <c r="F51" s="28" t="str">
        <f>_xlfn.XLOOKUP(__xlnm._FilterDatabase_1516[[#This Row],[SAPSA Number]],Table1[SAPSA number],Table1[Initials])</f>
        <v>DJ</v>
      </c>
      <c r="G51" s="17" t="str">
        <f ca="1">_xlfn.XLOOKUP(__xlnm._FilterDatabase_1516[[#This Row],[SAPSA Number]],Table1[SAPSA number],Table1[Gender])</f>
        <v>SS</v>
      </c>
      <c r="H51" s="19" t="e">
        <f>_xlfn.XLOOKUP(__xlnm._FilterDatabase_1516[[#This Row],[SAPSA Number]],#REF!,#REF!)</f>
        <v>#REF!</v>
      </c>
      <c r="I51" s="19" t="s">
        <v>235</v>
      </c>
      <c r="J51" s="21">
        <f t="shared" si="3"/>
        <v>0</v>
      </c>
      <c r="K51" s="22">
        <f t="shared" si="4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5"/>
        <v>2</v>
      </c>
      <c r="B52" s="25">
        <v>1321</v>
      </c>
      <c r="C52" s="25">
        <f>_xlfn.XLOOKUP(__xlnm._FilterDatabase_1516[[#This Row],[SAPSA Number]],Table1[SAPSA number],Table1[Paid up])</f>
        <v>0</v>
      </c>
      <c r="D52" s="39" t="str">
        <f>_xlfn.XLOOKUP(__xlnm._FilterDatabase_1516[[#This Row],[SAPSA Number]],Table1[SAPSA number],Table1[Name])</f>
        <v>Neal Monisen</v>
      </c>
      <c r="E52" s="39" t="str">
        <f>_xlfn.XLOOKUP(__xlnm._FilterDatabase_1516[[#This Row],[SAPSA Number]],Table1[SAPSA number],Table1[Surname])</f>
        <v>Sokay</v>
      </c>
      <c r="F52" s="28" t="str">
        <f>_xlfn.XLOOKUP(__xlnm._FilterDatabase_1516[[#This Row],[SAPSA Number]],Table1[SAPSA number],Table1[Initials])</f>
        <v>NM</v>
      </c>
      <c r="G52" s="17" t="str">
        <f ca="1">_xlfn.XLOOKUP(__xlnm._FilterDatabase_1516[[#This Row],[SAPSA Number]],Table1[SAPSA number],Table1[Gender])</f>
        <v>S</v>
      </c>
      <c r="H52" s="19" t="e">
        <f>_xlfn.XLOOKUP(__xlnm._FilterDatabase_1516[[#This Row],[SAPSA Number]],#REF!,#REF!)</f>
        <v>#REF!</v>
      </c>
      <c r="I52" s="19" t="s">
        <v>235</v>
      </c>
      <c r="J52" s="21">
        <f t="shared" si="3"/>
        <v>0</v>
      </c>
      <c r="K52" s="22">
        <f t="shared" si="4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5"/>
        <v>2</v>
      </c>
      <c r="B53" s="25">
        <v>3832</v>
      </c>
      <c r="C53" s="25" t="str">
        <f>_xlfn.XLOOKUP(__xlnm._FilterDatabase_1516[[#This Row],[SAPSA Number]],Table1[SAPSA number],Table1[Paid up])</f>
        <v>Y</v>
      </c>
      <c r="D53" s="39" t="str">
        <f>_xlfn.XLOOKUP(__xlnm._FilterDatabase_1516[[#This Row],[SAPSA Number]],Table1[SAPSA number],Table1[Name])</f>
        <v>Dion Rowlands</v>
      </c>
      <c r="E53" s="39" t="str">
        <f>_xlfn.XLOOKUP(__xlnm._FilterDatabase_1516[[#This Row],[SAPSA Number]],Table1[SAPSA number],Table1[Surname])</f>
        <v>Stead</v>
      </c>
      <c r="F53" s="28" t="str">
        <f>_xlfn.XLOOKUP(__xlnm._FilterDatabase_1516[[#This Row],[SAPSA Number]],Table1[SAPSA number],Table1[Initials])</f>
        <v>DR</v>
      </c>
      <c r="G53" s="17" t="str">
        <f ca="1">_xlfn.XLOOKUP(__xlnm._FilterDatabase_1516[[#This Row],[SAPSA Number]],Table1[SAPSA number],Table1[Gender])</f>
        <v>S</v>
      </c>
      <c r="H53" s="19" t="e">
        <f>_xlfn.XLOOKUP(__xlnm._FilterDatabase_1516[[#This Row],[SAPSA Number]],#REF!,#REF!)</f>
        <v>#REF!</v>
      </c>
      <c r="I53" s="19" t="s">
        <v>235</v>
      </c>
      <c r="J53" s="21">
        <f t="shared" si="3"/>
        <v>0</v>
      </c>
      <c r="K53" s="22">
        <f t="shared" si="4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5"/>
        <v>2</v>
      </c>
      <c r="B54" s="25">
        <v>4858</v>
      </c>
      <c r="C54" s="25" t="str">
        <f>_xlfn.XLOOKUP(__xlnm._FilterDatabase_1516[[#This Row],[SAPSA Number]],Table1[SAPSA number],Table1[Paid up])</f>
        <v>Y</v>
      </c>
      <c r="D54" s="39" t="str">
        <f>_xlfn.XLOOKUP(__xlnm._FilterDatabase_1516[[#This Row],[SAPSA Number]],Table1[SAPSA number],Table1[Name])</f>
        <v>Jacques</v>
      </c>
      <c r="E54" s="39" t="str">
        <f>_xlfn.XLOOKUP(__xlnm._FilterDatabase_1516[[#This Row],[SAPSA Number]],Table1[SAPSA number],Table1[Surname])</f>
        <v>Swanepoel</v>
      </c>
      <c r="F54" s="28" t="str">
        <f>_xlfn.XLOOKUP(__xlnm._FilterDatabase_1516[[#This Row],[SAPSA Number]],Table1[SAPSA number],Table1[Initials])</f>
        <v>J</v>
      </c>
      <c r="G54" s="17" t="str">
        <f ca="1">_xlfn.XLOOKUP(__xlnm._FilterDatabase_1516[[#This Row],[SAPSA Number]],Table1[SAPSA number],Table1[Gender])</f>
        <v xml:space="preserve"> </v>
      </c>
      <c r="H54" s="19" t="e">
        <f>_xlfn.XLOOKUP(__xlnm._FilterDatabase_1516[[#This Row],[SAPSA Number]],#REF!,#REF!)</f>
        <v>#REF!</v>
      </c>
      <c r="I54" s="19" t="s">
        <v>235</v>
      </c>
      <c r="J54" s="21">
        <f t="shared" si="3"/>
        <v>0</v>
      </c>
      <c r="K54" s="22">
        <f t="shared" si="4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5"/>
        <v>2</v>
      </c>
      <c r="B55" s="25">
        <v>1113</v>
      </c>
      <c r="C55" s="25" t="str">
        <f>_xlfn.XLOOKUP(__xlnm._FilterDatabase_1516[[#This Row],[SAPSA Number]],Table1[SAPSA number],Table1[Paid up])</f>
        <v>Y</v>
      </c>
      <c r="D55" s="39" t="str">
        <f>_xlfn.XLOOKUP(__xlnm._FilterDatabase_1516[[#This Row],[SAPSA Number]],Table1[SAPSA number],Table1[Name])</f>
        <v>Frik</v>
      </c>
      <c r="E55" s="39" t="str">
        <f>_xlfn.XLOOKUP(__xlnm._FilterDatabase_1516[[#This Row],[SAPSA Number]],Table1[SAPSA number],Table1[Surname])</f>
        <v>Truter</v>
      </c>
      <c r="F55" s="28" t="str">
        <f>_xlfn.XLOOKUP(__xlnm._FilterDatabase_1516[[#This Row],[SAPSA Number]],Table1[SAPSA number],Table1[Initials])</f>
        <v>FC</v>
      </c>
      <c r="G55" s="17" t="str">
        <f ca="1">_xlfn.XLOOKUP(__xlnm._FilterDatabase_1516[[#This Row],[SAPSA Number]],Table1[SAPSA number],Table1[Gender])</f>
        <v>SS</v>
      </c>
      <c r="H55" s="19" t="e">
        <f>_xlfn.XLOOKUP(__xlnm._FilterDatabase_1516[[#This Row],[SAPSA Number]],#REF!,#REF!)</f>
        <v>#REF!</v>
      </c>
      <c r="I55" s="19" t="s">
        <v>235</v>
      </c>
      <c r="J55" s="21">
        <f t="shared" si="3"/>
        <v>0</v>
      </c>
      <c r="K55" s="22">
        <f t="shared" si="4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5"/>
        <v>2</v>
      </c>
      <c r="B56" s="25">
        <v>4672</v>
      </c>
      <c r="C56" s="25" t="str">
        <f>_xlfn.XLOOKUP(__xlnm._FilterDatabase_1516[[#This Row],[SAPSA Number]],Table1[SAPSA number],Table1[Paid up])</f>
        <v>Y</v>
      </c>
      <c r="D56" s="39" t="str">
        <f>_xlfn.XLOOKUP(__xlnm._FilterDatabase_1516[[#This Row],[SAPSA Number]],Table1[SAPSA number],Table1[Name])</f>
        <v>Frederick John</v>
      </c>
      <c r="E56" s="39" t="str">
        <f>_xlfn.XLOOKUP(__xlnm._FilterDatabase_1516[[#This Row],[SAPSA Number]],Table1[SAPSA number],Table1[Surname])</f>
        <v>Turnbull</v>
      </c>
      <c r="F56" s="28" t="str">
        <f>_xlfn.XLOOKUP(__xlnm._FilterDatabase_1516[[#This Row],[SAPSA Number]],Table1[SAPSA number],Table1[Initials])</f>
        <v>FJ</v>
      </c>
      <c r="G56" s="17" t="str">
        <f ca="1">_xlfn.XLOOKUP(__xlnm._FilterDatabase_1516[[#This Row],[SAPSA Number]],Table1[SAPSA number],Table1[Gender])</f>
        <v>SS</v>
      </c>
      <c r="H56" s="19" t="e">
        <f>_xlfn.XLOOKUP(__xlnm._FilterDatabase_1516[[#This Row],[SAPSA Number]],#REF!,#REF!)</f>
        <v>#REF!</v>
      </c>
      <c r="I56" s="19" t="s">
        <v>235</v>
      </c>
      <c r="J56" s="21">
        <f t="shared" si="3"/>
        <v>0</v>
      </c>
      <c r="K56" s="22">
        <f t="shared" si="4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5"/>
        <v>2</v>
      </c>
      <c r="B57" s="25">
        <v>1931</v>
      </c>
      <c r="C57" s="25">
        <f>_xlfn.XLOOKUP(__xlnm._FilterDatabase_1516[[#This Row],[SAPSA Number]],Table1[SAPSA number],Table1[Paid up])</f>
        <v>0</v>
      </c>
      <c r="D57" s="39" t="str">
        <f>_xlfn.XLOOKUP(__xlnm._FilterDatabase_1516[[#This Row],[SAPSA Number]],Table1[SAPSA number],Table1[Name])</f>
        <v>Sylvia</v>
      </c>
      <c r="E57" s="39" t="str">
        <f>_xlfn.XLOOKUP(__xlnm._FilterDatabase_1516[[#This Row],[SAPSA Number]],Table1[SAPSA number],Table1[Surname])</f>
        <v>Van der Neut</v>
      </c>
      <c r="F57" s="28" t="str">
        <f>_xlfn.XLOOKUP(__xlnm._FilterDatabase_1516[[#This Row],[SAPSA Number]],Table1[SAPSA number],Table1[Initials])</f>
        <v>S</v>
      </c>
      <c r="G57" s="17" t="str">
        <f>_xlfn.XLOOKUP(__xlnm._FilterDatabase_1516[[#This Row],[SAPSA Number]],Table1[SAPSA number],Table1[Gender])</f>
        <v>Lady</v>
      </c>
      <c r="H57" s="19" t="e">
        <f>_xlfn.XLOOKUP(__xlnm._FilterDatabase_1516[[#This Row],[SAPSA Number]],#REF!,#REF!)</f>
        <v>#REF!</v>
      </c>
      <c r="I57" s="19" t="s">
        <v>235</v>
      </c>
      <c r="J57" s="21">
        <f t="shared" si="3"/>
        <v>0</v>
      </c>
      <c r="K57" s="22">
        <f t="shared" si="4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5"/>
        <v>2</v>
      </c>
      <c r="B58" s="25">
        <v>5616</v>
      </c>
      <c r="C58" s="25">
        <f>_xlfn.XLOOKUP(__xlnm._FilterDatabase_1516[[#This Row],[SAPSA Number]],Table1[SAPSA number],Table1[Paid up])</f>
        <v>0</v>
      </c>
      <c r="D58" s="39" t="str">
        <f>_xlfn.XLOOKUP(__xlnm._FilterDatabase_1516[[#This Row],[SAPSA Number]],Table1[SAPSA number],Table1[Name])</f>
        <v>Cornelis Herman</v>
      </c>
      <c r="E58" s="39" t="str">
        <f>_xlfn.XLOOKUP(__xlnm._FilterDatabase_1516[[#This Row],[SAPSA Number]],Table1[SAPSA number],Table1[Surname])</f>
        <v>van Driel</v>
      </c>
      <c r="F58" s="28" t="str">
        <f>_xlfn.XLOOKUP(__xlnm._FilterDatabase_1516[[#This Row],[SAPSA Number]],Table1[SAPSA number],Table1[Initials])</f>
        <v>CH</v>
      </c>
      <c r="G58" s="17" t="str">
        <f ca="1">_xlfn.XLOOKUP(__xlnm._FilterDatabase_1516[[#This Row],[SAPSA Number]],Table1[SAPSA number],Table1[Gender])</f>
        <v xml:space="preserve"> </v>
      </c>
      <c r="H58" s="19" t="e">
        <f>_xlfn.XLOOKUP(__xlnm._FilterDatabase_1516[[#This Row],[SAPSA Number]],#REF!,#REF!)</f>
        <v>#REF!</v>
      </c>
      <c r="I58" s="19" t="s">
        <v>235</v>
      </c>
      <c r="J58" s="21">
        <f t="shared" si="3"/>
        <v>0</v>
      </c>
      <c r="K58" s="22">
        <f t="shared" si="4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5"/>
        <v>2</v>
      </c>
      <c r="B59" s="40">
        <v>6564</v>
      </c>
      <c r="C59" s="25" t="str">
        <f>_xlfn.XLOOKUP(__xlnm._FilterDatabase_1516[[#This Row],[SAPSA Number]],Table1[SAPSA number],Table1[Paid up])</f>
        <v>Y</v>
      </c>
      <c r="D59" s="39" t="str">
        <f>_xlfn.XLOOKUP(__xlnm._FilterDatabase_1516[[#This Row],[SAPSA Number]],Table1[SAPSA number],Table1[Name])</f>
        <v>Kwimton Schalk</v>
      </c>
      <c r="E59" s="39" t="str">
        <f>_xlfn.XLOOKUP(__xlnm._FilterDatabase_1516[[#This Row],[SAPSA Number]],Table1[SAPSA number],Table1[Surname])</f>
        <v>van Jaarsveld</v>
      </c>
      <c r="F59" s="28" t="str">
        <f>_xlfn.XLOOKUP(__xlnm._FilterDatabase_1516[[#This Row],[SAPSA Number]],Table1[SAPSA number],Table1[Initials])</f>
        <v>KS</v>
      </c>
      <c r="G59" s="17" t="str">
        <f ca="1">_xlfn.XLOOKUP(__xlnm._FilterDatabase_1516[[#This Row],[SAPSA Number]],Table1[SAPSA number],Table1[Gender])</f>
        <v xml:space="preserve"> </v>
      </c>
      <c r="H59" s="19" t="e">
        <f>_xlfn.XLOOKUP(__xlnm._FilterDatabase_1516[[#This Row],[SAPSA Number]],#REF!,#REF!)</f>
        <v>#REF!</v>
      </c>
      <c r="I59" s="19" t="s">
        <v>235</v>
      </c>
      <c r="J59" s="21">
        <f t="shared" si="3"/>
        <v>0</v>
      </c>
      <c r="K59" s="22">
        <f t="shared" si="4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5"/>
        <v>2</v>
      </c>
      <c r="B60" s="25">
        <v>5262</v>
      </c>
      <c r="C60" s="25" t="str">
        <f>_xlfn.XLOOKUP(__xlnm._FilterDatabase_1516[[#This Row],[SAPSA Number]],Table1[SAPSA number],Table1[Paid up])</f>
        <v>Y</v>
      </c>
      <c r="D60" s="39" t="str">
        <f>_xlfn.XLOOKUP(__xlnm._FilterDatabase_1516[[#This Row],[SAPSA Number]],Table1[SAPSA number],Table1[Name])</f>
        <v>Andre</v>
      </c>
      <c r="E60" s="39" t="str">
        <f>_xlfn.XLOOKUP(__xlnm._FilterDatabase_1516[[#This Row],[SAPSA Number]],Table1[SAPSA number],Table1[Surname])</f>
        <v>van Rooyen</v>
      </c>
      <c r="F60" s="28" t="str">
        <f>_xlfn.XLOOKUP(__xlnm._FilterDatabase_1516[[#This Row],[SAPSA Number]],Table1[SAPSA number],Table1[Initials])</f>
        <v>A</v>
      </c>
      <c r="G60" s="17" t="str">
        <f ca="1">_xlfn.XLOOKUP(__xlnm._FilterDatabase_1516[[#This Row],[SAPSA Number]],Table1[SAPSA number],Table1[Gender])</f>
        <v xml:space="preserve"> </v>
      </c>
      <c r="H60" s="19" t="e">
        <f>_xlfn.XLOOKUP(__xlnm._FilterDatabase_1516[[#This Row],[SAPSA Number]],#REF!,#REF!)</f>
        <v>#REF!</v>
      </c>
      <c r="I60" s="19" t="s">
        <v>235</v>
      </c>
      <c r="J60" s="21">
        <f t="shared" si="3"/>
        <v>0</v>
      </c>
      <c r="K60" s="22">
        <f t="shared" si="4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5"/>
        <v>2</v>
      </c>
      <c r="B61" s="25">
        <v>5971</v>
      </c>
      <c r="C61" s="25">
        <f>_xlfn.XLOOKUP(__xlnm._FilterDatabase_1516[[#This Row],[SAPSA Number]],Table1[SAPSA number],Table1[Paid up])</f>
        <v>0</v>
      </c>
      <c r="D61" s="39" t="str">
        <f>_xlfn.XLOOKUP(__xlnm._FilterDatabase_1516[[#This Row],[SAPSA Number]],Table1[SAPSA number],Table1[Name])</f>
        <v>Hendrik</v>
      </c>
      <c r="E61" s="39" t="str">
        <f>_xlfn.XLOOKUP(__xlnm._FilterDatabase_1516[[#This Row],[SAPSA Number]],Table1[SAPSA number],Table1[Surname])</f>
        <v>van Rooyen</v>
      </c>
      <c r="F61" s="28" t="str">
        <f>_xlfn.XLOOKUP(__xlnm._FilterDatabase_1516[[#This Row],[SAPSA Number]],Table1[SAPSA number],Table1[Initials])</f>
        <v>H</v>
      </c>
      <c r="G61" s="17" t="str">
        <f ca="1">_xlfn.XLOOKUP(__xlnm._FilterDatabase_1516[[#This Row],[SAPSA Number]],Table1[SAPSA number],Table1[Gender])</f>
        <v>S</v>
      </c>
      <c r="H61" s="19" t="e">
        <f>_xlfn.XLOOKUP(__xlnm._FilterDatabase_1516[[#This Row],[SAPSA Number]],#REF!,#REF!)</f>
        <v>#REF!</v>
      </c>
      <c r="I61" s="19" t="s">
        <v>235</v>
      </c>
      <c r="J61" s="21">
        <f t="shared" si="3"/>
        <v>0</v>
      </c>
      <c r="K61" s="22">
        <f t="shared" si="4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5"/>
        <v>2</v>
      </c>
      <c r="B62" s="25">
        <v>2051</v>
      </c>
      <c r="C62" s="25" t="str">
        <f>_xlfn.XLOOKUP(__xlnm._FilterDatabase_1516[[#This Row],[SAPSA Number]],Table1[SAPSA number],Table1[Paid up])</f>
        <v>Y</v>
      </c>
      <c r="D62" s="39" t="str">
        <f>_xlfn.XLOOKUP(__xlnm._FilterDatabase_1516[[#This Row],[SAPSA Number]],Table1[SAPSA number],Table1[Name])</f>
        <v>Simon Adriaan</v>
      </c>
      <c r="E62" s="39" t="str">
        <f>_xlfn.XLOOKUP(__xlnm._FilterDatabase_1516[[#This Row],[SAPSA Number]],Table1[SAPSA number],Table1[Surname])</f>
        <v>Vermooten</v>
      </c>
      <c r="F62" s="28" t="str">
        <f>_xlfn.XLOOKUP(__xlnm._FilterDatabase_1516[[#This Row],[SAPSA Number]],Table1[SAPSA number],Table1[Initials])</f>
        <v>SA</v>
      </c>
      <c r="G62" s="17" t="str">
        <f ca="1">_xlfn.XLOOKUP(__xlnm._FilterDatabase_1516[[#This Row],[SAPSA Number]],Table1[SAPSA number],Table1[Gender])</f>
        <v>GS</v>
      </c>
      <c r="H62" s="19" t="e">
        <f>_xlfn.XLOOKUP(__xlnm._FilterDatabase_1516[[#This Row],[SAPSA Number]],#REF!,#REF!)</f>
        <v>#REF!</v>
      </c>
      <c r="I62" s="19" t="s">
        <v>235</v>
      </c>
      <c r="J62" s="21">
        <f t="shared" si="3"/>
        <v>0</v>
      </c>
      <c r="K62" s="22">
        <f t="shared" si="4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5"/>
        <v>2</v>
      </c>
      <c r="B63" s="25">
        <v>2089</v>
      </c>
      <c r="C63" s="25" t="str">
        <f>_xlfn.XLOOKUP(__xlnm._FilterDatabase_1516[[#This Row],[SAPSA Number]],Table1[SAPSA number],Table1[Paid up])</f>
        <v>Y</v>
      </c>
      <c r="D63" s="39" t="str">
        <f>_xlfn.XLOOKUP(__xlnm._FilterDatabase_1516[[#This Row],[SAPSA Number]],Table1[SAPSA number],Table1[Name])</f>
        <v>Doané</v>
      </c>
      <c r="E63" s="39" t="str">
        <f>_xlfn.XLOOKUP(__xlnm._FilterDatabase_1516[[#This Row],[SAPSA Number]],Table1[SAPSA number],Table1[Surname])</f>
        <v>Vermooten</v>
      </c>
      <c r="F63" s="28" t="str">
        <f>_xlfn.XLOOKUP(__xlnm._FilterDatabase_1516[[#This Row],[SAPSA Number]],Table1[SAPSA number],Table1[Initials])</f>
        <v>D</v>
      </c>
      <c r="G63" s="17" t="str">
        <f ca="1">_xlfn.XLOOKUP(__xlnm._FilterDatabase_1516[[#This Row],[SAPSA Number]],Table1[SAPSA number],Table1[Gender])</f>
        <v xml:space="preserve"> </v>
      </c>
      <c r="H63" s="19" t="e">
        <f>_xlfn.XLOOKUP(__xlnm._FilterDatabase_1516[[#This Row],[SAPSA Number]],#REF!,#REF!)</f>
        <v>#REF!</v>
      </c>
      <c r="I63" s="19" t="s">
        <v>235</v>
      </c>
      <c r="J63" s="21">
        <f t="shared" si="3"/>
        <v>0</v>
      </c>
      <c r="K63" s="22">
        <f t="shared" si="4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 t="shared" si="5"/>
        <v>2</v>
      </c>
      <c r="B64" s="39">
        <v>896</v>
      </c>
      <c r="C64" s="25" t="str">
        <f>_xlfn.XLOOKUP(__xlnm._FilterDatabase_1516[[#This Row],[SAPSA Number]],Table1[SAPSA number],Table1[Paid up])</f>
        <v>Y</v>
      </c>
      <c r="D64" s="39" t="str">
        <f>_xlfn.XLOOKUP(__xlnm._FilterDatabase_1516[[#This Row],[SAPSA Number]],Table1[SAPSA number],Table1[Name])</f>
        <v>Johannes Francois</v>
      </c>
      <c r="E64" s="39" t="str">
        <f>_xlfn.XLOOKUP(__xlnm._FilterDatabase_1516[[#This Row],[SAPSA Number]],Table1[SAPSA number],Table1[Surname])</f>
        <v>Wheeler</v>
      </c>
      <c r="F64" s="28" t="str">
        <f>_xlfn.XLOOKUP(__xlnm._FilterDatabase_1516[[#This Row],[SAPSA Number]],Table1[SAPSA number],Table1[Initials])</f>
        <v>JF</v>
      </c>
      <c r="G64" s="17" t="str">
        <f ca="1">_xlfn.XLOOKUP(__xlnm._FilterDatabase_1516[[#This Row],[SAPSA Number]],Table1[SAPSA number],Table1[Gender])</f>
        <v xml:space="preserve"> </v>
      </c>
      <c r="H64" s="19" t="e">
        <f>_xlfn.XLOOKUP(__xlnm._FilterDatabase_1516[[#This Row],[SAPSA Number]],#REF!,#REF!)</f>
        <v>#REF!</v>
      </c>
      <c r="I64" s="19" t="s">
        <v>235</v>
      </c>
      <c r="J64" s="21">
        <f t="shared" si="3"/>
        <v>0</v>
      </c>
      <c r="K64" s="22">
        <f t="shared" si="4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 t="shared" si="5"/>
        <v>2</v>
      </c>
      <c r="B65" s="26">
        <v>1716</v>
      </c>
      <c r="C65" s="25" t="str">
        <f>_xlfn.XLOOKUP(__xlnm._FilterDatabase_1516[[#This Row],[SAPSA Number]],Table1[SAPSA number],Table1[Paid up])</f>
        <v>Y</v>
      </c>
      <c r="D65" s="39" t="str">
        <f>_xlfn.XLOOKUP(__xlnm._FilterDatabase_1516[[#This Row],[SAPSA Number]],Table1[SAPSA number],Table1[Name])</f>
        <v>Albert</v>
      </c>
      <c r="E65" s="39" t="str">
        <f>_xlfn.XLOOKUP(__xlnm._FilterDatabase_1516[[#This Row],[SAPSA Number]],Table1[SAPSA number],Table1[Surname])</f>
        <v>Wöcke</v>
      </c>
      <c r="F65" s="28" t="str">
        <f>_xlfn.XLOOKUP(__xlnm._FilterDatabase_1516[[#This Row],[SAPSA Number]],Table1[SAPSA number],Table1[Initials])</f>
        <v>A</v>
      </c>
      <c r="G65" s="17" t="str">
        <f ca="1">_xlfn.XLOOKUP(__xlnm._FilterDatabase_1516[[#This Row],[SAPSA Number]],Table1[SAPSA number],Table1[Gender])</f>
        <v>S</v>
      </c>
      <c r="H65" s="19" t="e">
        <f>_xlfn.XLOOKUP(__xlnm._FilterDatabase_1516[[#This Row],[SAPSA Number]],#REF!,#REF!)</f>
        <v>#REF!</v>
      </c>
      <c r="I65" s="19" t="s">
        <v>235</v>
      </c>
      <c r="J65" s="21">
        <f t="shared" si="3"/>
        <v>0</v>
      </c>
      <c r="K65" s="22">
        <f t="shared" si="4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 t="shared" si="5"/>
        <v>2</v>
      </c>
      <c r="B66" s="26">
        <v>206</v>
      </c>
      <c r="C66" s="25">
        <f>_xlfn.XLOOKUP(__xlnm._FilterDatabase_1516[[#This Row],[SAPSA Number]],Table1[SAPSA number],Table1[Paid up])</f>
        <v>0</v>
      </c>
      <c r="D66" s="39" t="str">
        <f>_xlfn.XLOOKUP(__xlnm._FilterDatabase_1516[[#This Row],[SAPSA Number]],Table1[SAPSA number],Table1[Name])</f>
        <v>Pierre Dewald</v>
      </c>
      <c r="E66" s="39" t="str">
        <f>_xlfn.XLOOKUP(__xlnm._FilterDatabase_1516[[#This Row],[SAPSA Number]],Table1[SAPSA number],Table1[Surname])</f>
        <v>Wrogemann</v>
      </c>
      <c r="F66" s="28" t="str">
        <f>_xlfn.XLOOKUP(__xlnm._FilterDatabase_1516[[#This Row],[SAPSA Number]],Table1[SAPSA number],Table1[Initials])</f>
        <v>PD</v>
      </c>
      <c r="G66" s="17" t="str">
        <f ca="1">_xlfn.XLOOKUP(__xlnm._FilterDatabase_1516[[#This Row],[SAPSA Number]],Table1[SAPSA number],Table1[Gender])</f>
        <v>S</v>
      </c>
      <c r="H66" s="19" t="e">
        <f>_xlfn.XLOOKUP(__xlnm._FilterDatabase_1516[[#This Row],[SAPSA Number]],#REF!,#REF!)</f>
        <v>#REF!</v>
      </c>
      <c r="I66" s="19" t="s">
        <v>235</v>
      </c>
      <c r="J66" s="21">
        <f t="shared" si="3"/>
        <v>0</v>
      </c>
      <c r="K66" s="22">
        <f t="shared" ref="K66" si="6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>
        <f t="shared" ref="A67:A69" si="7">RANK(K67,K$2:K$139,0)</f>
        <v>2</v>
      </c>
      <c r="B67" s="26">
        <v>3810</v>
      </c>
      <c r="C67" s="25">
        <f>_xlfn.XLOOKUP(__xlnm._FilterDatabase_1516[[#This Row],[SAPSA Number]],Table1[SAPSA number],Table1[Paid up])</f>
        <v>0</v>
      </c>
      <c r="D67" s="39" t="str">
        <f>_xlfn.XLOOKUP(__xlnm._FilterDatabase_1516[[#This Row],[SAPSA Number]],Table1[SAPSA number],Table1[Name])</f>
        <v>Roelof</v>
      </c>
      <c r="E67" s="39" t="str">
        <f>_xlfn.XLOOKUP(__xlnm._FilterDatabase_1516[[#This Row],[SAPSA Number]],Table1[SAPSA number],Table1[Surname])</f>
        <v>Liebenberg</v>
      </c>
      <c r="F67" s="28" t="str">
        <f>_xlfn.XLOOKUP(__xlnm._FilterDatabase_1516[[#This Row],[SAPSA Number]],Table1[SAPSA number],Table1[Initials])</f>
        <v>R</v>
      </c>
      <c r="G67" s="17" t="str">
        <f ca="1">_xlfn.XLOOKUP(__xlnm._FilterDatabase_1516[[#This Row],[SAPSA Number]],Table1[SAPSA number],Table1[Gender])</f>
        <v>S</v>
      </c>
      <c r="H67" s="19" t="e">
        <f>_xlfn.XLOOKUP(__xlnm._FilterDatabase_1516[[#This Row],[SAPSA Number]],#REF!,#REF!)</f>
        <v>#REF!</v>
      </c>
      <c r="I67" s="19" t="s">
        <v>235</v>
      </c>
      <c r="J67" s="21">
        <f t="shared" ref="J67" si="8"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 t="shared" ref="K67" si="9">(LARGE(L67:U67,1)+LARGE(L67:U67,2)+LARGE(L67:U67,3)+LARGE(L67:U67,4)+LARGE(L67:U67,5))/5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>
        <f t="shared" si="7"/>
        <v>2</v>
      </c>
      <c r="B68" s="26">
        <v>401</v>
      </c>
      <c r="C68" s="25"/>
      <c r="D68" s="39" t="str">
        <f>_xlfn.XLOOKUP(__xlnm._FilterDatabase_1516[[#This Row],[SAPSA Number]],Table1[SAPSA number],Table1[Name])</f>
        <v>Sebella</v>
      </c>
      <c r="E68" s="39" t="str">
        <f>_xlfn.XLOOKUP(__xlnm._FilterDatabase_1516[[#This Row],[SAPSA Number]],Table1[SAPSA number],Table1[Surname])</f>
        <v>O'Donovan</v>
      </c>
      <c r="F68" s="28" t="str">
        <f>_xlfn.XLOOKUP(__xlnm._FilterDatabase_1516[[#This Row],[SAPSA Number]],Table1[SAPSA number],Table1[Initials])</f>
        <v>S</v>
      </c>
      <c r="G68" s="17" t="str">
        <f>_xlfn.XLOOKUP(__xlnm._FilterDatabase_1516[[#This Row],[SAPSA Number]],Table1[SAPSA number],Table1[Gender])</f>
        <v>Lady</v>
      </c>
      <c r="H68" s="19" t="e">
        <f>_xlfn.XLOOKUP(__xlnm._FilterDatabase_1516[[#This Row],[SAPSA Number]],#REF!,#REF!)</f>
        <v>#REF!</v>
      </c>
      <c r="I68" s="19" t="s">
        <v>235</v>
      </c>
      <c r="J68" s="21">
        <f t="shared" ref="J68:J69" si="10"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 t="shared" ref="K68:K69" si="11">(LARGE(L68:U68,1)+LARGE(L68:U68,2)+LARGE(L68:U68,3)+LARGE(L68:U68,4)+LARGE(L68:U68,5))/5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" customHeight="1" x14ac:dyDescent="0.3">
      <c r="A69" s="17">
        <f t="shared" si="7"/>
        <v>2</v>
      </c>
      <c r="B69" s="26">
        <v>1547</v>
      </c>
      <c r="C69" s="25"/>
      <c r="D69" s="39" t="str">
        <f>_xlfn.XLOOKUP(__xlnm._FilterDatabase_1516[[#This Row],[SAPSA Number]],Table1[SAPSA number],Table1[Name])</f>
        <v>Marius Frans</v>
      </c>
      <c r="E69" s="39" t="str">
        <f>_xlfn.XLOOKUP(__xlnm._FilterDatabase_1516[[#This Row],[SAPSA Number]],Table1[SAPSA number],Table1[Surname])</f>
        <v>van Biljon</v>
      </c>
      <c r="F69" s="28" t="str">
        <f>_xlfn.XLOOKUP(__xlnm._FilterDatabase_1516[[#This Row],[SAPSA Number]],Table1[SAPSA number],Table1[Initials])</f>
        <v>MF</v>
      </c>
      <c r="G69" s="17" t="str">
        <f ca="1">_xlfn.XLOOKUP(__xlnm._FilterDatabase_1516[[#This Row],[SAPSA Number]],Table1[SAPSA number],Table1[Gender])</f>
        <v>S</v>
      </c>
      <c r="H69" s="19" t="e">
        <f>_xlfn.XLOOKUP(__xlnm._FilterDatabase_1516[[#This Row],[SAPSA Number]],#REF!,#REF!)</f>
        <v>#REF!</v>
      </c>
      <c r="I69" s="19" t="s">
        <v>235</v>
      </c>
      <c r="J69" s="21">
        <f t="shared" si="10"/>
        <v>0</v>
      </c>
      <c r="K69" s="22">
        <f t="shared" si="11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ref="A70" si="12">RANK(K70,K$2:K$139,0)</f>
        <v>2</v>
      </c>
      <c r="B70" s="26">
        <v>3837</v>
      </c>
      <c r="C70" s="25"/>
      <c r="D70" s="39" t="str">
        <f>_xlfn.XLOOKUP(__xlnm._FilterDatabase_1516[[#This Row],[SAPSA Number]],Table1[SAPSA number],Table1[Name])</f>
        <v>Daneel</v>
      </c>
      <c r="E70" s="39" t="str">
        <f>_xlfn.XLOOKUP(__xlnm._FilterDatabase_1516[[#This Row],[SAPSA Number]],Table1[SAPSA number],Table1[Surname])</f>
        <v>van eck</v>
      </c>
      <c r="F70" s="28" t="str">
        <f>_xlfn.XLOOKUP(__xlnm._FilterDatabase_1516[[#This Row],[SAPSA Number]],Table1[SAPSA number],Table1[Initials])</f>
        <v>DJ</v>
      </c>
      <c r="G70" s="17" t="str">
        <f ca="1">_xlfn.XLOOKUP(__xlnm._FilterDatabase_1516[[#This Row],[SAPSA Number]],Table1[SAPSA number],Table1[Gender])</f>
        <v xml:space="preserve"> </v>
      </c>
      <c r="H70" s="19" t="e">
        <f>_xlfn.XLOOKUP(__xlnm._FilterDatabase_1516[[#This Row],[SAPSA Number]],#REF!,#REF!)</f>
        <v>#REF!</v>
      </c>
      <c r="I70" s="19" t="s">
        <v>235</v>
      </c>
      <c r="J70" s="21">
        <f t="shared" ref="J70" si="13"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 t="shared" ref="K70" si="14">(LARGE(L70:U70,1)+LARGE(L70:U70,2)+LARGE(L70:U70,3)+LARGE(L70:U70,4)+LARGE(L70:U70,5))/5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39"/>
      <c r="E71" s="39"/>
      <c r="F71" s="28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x14ac:dyDescent="0.3">
      <c r="A72" s="17"/>
      <c r="B72" s="26"/>
      <c r="C72" s="25"/>
      <c r="D72" s="39"/>
      <c r="E72" s="39"/>
      <c r="F72" s="28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17"/>
      <c r="B73" s="27"/>
      <c r="C73" s="25"/>
      <c r="D73" s="39"/>
      <c r="E73" s="39"/>
      <c r="F73" s="28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17"/>
      <c r="B74" s="148"/>
      <c r="C74" s="25"/>
      <c r="D74" s="39"/>
      <c r="E74" s="39"/>
      <c r="F74" s="28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17"/>
      <c r="B75" s="40"/>
      <c r="C75" s="25"/>
      <c r="D75" s="39"/>
      <c r="E75" s="39"/>
      <c r="F75" s="28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17"/>
      <c r="B76" s="40"/>
      <c r="C76" s="25"/>
      <c r="D76" s="39"/>
      <c r="E76" s="39"/>
      <c r="F76" s="28"/>
      <c r="G76" s="17"/>
      <c r="H76" s="19"/>
      <c r="I76" s="19"/>
      <c r="J76" s="21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x14ac:dyDescent="0.3">
      <c r="A77" s="17"/>
      <c r="B77" s="76"/>
      <c r="C77" s="25"/>
      <c r="D77" s="39"/>
      <c r="E77" s="39"/>
      <c r="F77" s="28"/>
      <c r="G77" s="17"/>
      <c r="H77" s="19"/>
      <c r="I77" s="19"/>
      <c r="J77" s="21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x14ac:dyDescent="0.3">
      <c r="A78" s="17"/>
      <c r="B78" s="39"/>
      <c r="C78" s="25"/>
      <c r="D78" s="39"/>
      <c r="E78" s="39"/>
      <c r="F78" s="28"/>
      <c r="G78" s="17"/>
      <c r="H78" s="19"/>
      <c r="I78" s="19"/>
      <c r="J78" s="21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x14ac:dyDescent="0.3">
      <c r="A79" s="31"/>
      <c r="B79" s="41"/>
      <c r="C79" s="25"/>
      <c r="D79" s="39"/>
      <c r="E79" s="39"/>
      <c r="F79" s="28"/>
      <c r="G79" s="17"/>
      <c r="H79" s="19"/>
      <c r="I79" s="19"/>
      <c r="J79" s="34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31"/>
      <c r="B80" s="41"/>
      <c r="C80" s="25"/>
      <c r="D80" s="39"/>
      <c r="E80" s="39"/>
      <c r="F80" s="28"/>
      <c r="G80" s="17"/>
      <c r="H80" s="19"/>
      <c r="I80" s="19"/>
      <c r="J80" s="34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x14ac:dyDescent="0.3">
      <c r="A81" s="31"/>
      <c r="B81" s="41"/>
      <c r="C81" s="25"/>
      <c r="D81" s="39"/>
      <c r="E81" s="39"/>
      <c r="F81" s="28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31"/>
      <c r="B82" s="41"/>
      <c r="C82" s="25"/>
      <c r="D82" s="39"/>
      <c r="E82" s="39"/>
      <c r="F82" s="28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31"/>
      <c r="B83" s="41"/>
      <c r="C83" s="25"/>
      <c r="D83" s="39"/>
      <c r="E83" s="39"/>
      <c r="F83" s="28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31"/>
      <c r="B84" s="41"/>
      <c r="C84" s="25"/>
      <c r="D84" s="39"/>
      <c r="E84" s="39"/>
      <c r="F84" s="28"/>
      <c r="G84" s="17"/>
      <c r="H84" s="19"/>
      <c r="I84" s="19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31"/>
      <c r="B85" s="41"/>
      <c r="C85" s="25"/>
      <c r="D85" s="39"/>
      <c r="E85" s="39"/>
      <c r="F85" s="28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31"/>
      <c r="B86" s="42"/>
      <c r="C86" s="25"/>
      <c r="D86" s="39"/>
      <c r="E86" s="39"/>
      <c r="F86" s="28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31"/>
      <c r="B87" s="41"/>
      <c r="C87" s="25"/>
      <c r="D87" s="39"/>
      <c r="E87" s="39"/>
      <c r="F87" s="28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31"/>
      <c r="B88" s="41"/>
      <c r="C88" s="25"/>
      <c r="D88" s="39"/>
      <c r="E88" s="39"/>
      <c r="F88" s="28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5"/>
      <c r="B89" s="32"/>
      <c r="C89" s="25"/>
      <c r="D89" s="39"/>
      <c r="E89" s="39"/>
      <c r="F89" s="28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5"/>
      <c r="B90" s="43"/>
      <c r="C90" s="25"/>
      <c r="D90" s="39"/>
      <c r="E90" s="39"/>
      <c r="F90" s="28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5"/>
      <c r="B91" s="32"/>
      <c r="C91" s="25"/>
      <c r="D91" s="39"/>
      <c r="E91" s="39"/>
      <c r="F91" s="28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5"/>
      <c r="B92" s="32"/>
      <c r="C92" s="25"/>
      <c r="D92" s="39"/>
      <c r="E92" s="39"/>
      <c r="F92" s="28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31"/>
      <c r="B93" s="32"/>
      <c r="C93" s="25"/>
      <c r="D93" s="39"/>
      <c r="E93" s="39"/>
      <c r="F93" s="28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1"/>
      <c r="B94" s="32"/>
      <c r="C94" s="25"/>
      <c r="D94" s="39"/>
      <c r="E94" s="39"/>
      <c r="F94" s="28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1"/>
      <c r="B95" s="32"/>
      <c r="C95" s="25"/>
      <c r="D95" s="39"/>
      <c r="E95" s="39"/>
      <c r="F95" s="28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5"/>
      <c r="B96" s="36"/>
      <c r="C96" s="25"/>
      <c r="D96" s="39"/>
      <c r="E96" s="39"/>
      <c r="F96" s="28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5"/>
      <c r="B97" s="36"/>
      <c r="C97" s="25"/>
      <c r="D97" s="39"/>
      <c r="E97" s="39"/>
      <c r="F97" s="28"/>
      <c r="G97" s="17"/>
      <c r="H97" s="19"/>
      <c r="I97" s="29"/>
      <c r="J97" s="52"/>
      <c r="K97" s="22"/>
      <c r="L97" s="53"/>
      <c r="M97" s="54"/>
      <c r="N97" s="53"/>
      <c r="O97" s="54"/>
      <c r="P97" s="53"/>
      <c r="Q97" s="54"/>
      <c r="R97" s="53"/>
      <c r="S97" s="54"/>
      <c r="T97" s="53"/>
      <c r="U97" s="54"/>
      <c r="V97" s="53"/>
      <c r="W97" s="54"/>
    </row>
    <row r="98" spans="1:23" x14ac:dyDescent="0.3">
      <c r="A98" s="31"/>
      <c r="B98" s="32"/>
      <c r="C98" s="25"/>
      <c r="D98" s="39"/>
      <c r="E98" s="39"/>
      <c r="F98" s="28"/>
      <c r="G98" s="17"/>
      <c r="H98" s="19"/>
      <c r="I98" s="33"/>
      <c r="J98" s="34"/>
      <c r="K98" s="22"/>
      <c r="L98" s="55"/>
      <c r="M98" s="56"/>
      <c r="N98" s="55"/>
      <c r="O98" s="56"/>
      <c r="P98" s="55"/>
      <c r="Q98" s="56"/>
      <c r="R98" s="55"/>
      <c r="S98" s="56"/>
      <c r="T98" s="55"/>
      <c r="U98" s="56"/>
      <c r="V98" s="55"/>
      <c r="W98" s="56"/>
    </row>
    <row r="99" spans="1:23" x14ac:dyDescent="0.3">
      <c r="A99" s="31"/>
      <c r="B99" s="43"/>
      <c r="C99" s="25"/>
      <c r="D99" s="39"/>
      <c r="E99" s="39"/>
      <c r="F99" s="28"/>
      <c r="G99" s="17"/>
      <c r="H99" s="19"/>
      <c r="I99" s="33"/>
      <c r="J99" s="34"/>
      <c r="K99" s="22"/>
      <c r="L99" s="55"/>
      <c r="M99" s="56"/>
      <c r="N99" s="55"/>
      <c r="O99" s="56"/>
      <c r="P99" s="55"/>
      <c r="Q99" s="56"/>
      <c r="R99" s="55"/>
      <c r="S99" s="56"/>
      <c r="T99" s="55"/>
      <c r="U99" s="56"/>
      <c r="V99" s="55"/>
      <c r="W99" s="56"/>
    </row>
    <row r="100" spans="1:23" x14ac:dyDescent="0.3">
      <c r="A100" s="31"/>
      <c r="B100" s="41"/>
      <c r="C100" s="25"/>
      <c r="D100" s="39"/>
      <c r="E100" s="39"/>
      <c r="F100" s="28"/>
      <c r="G100" s="17"/>
      <c r="H100" s="19"/>
      <c r="I100" s="33"/>
      <c r="J100" s="34"/>
      <c r="K100" s="22"/>
      <c r="L100" s="55"/>
      <c r="M100" s="56"/>
      <c r="N100" s="55"/>
      <c r="O100" s="56"/>
      <c r="P100" s="55"/>
      <c r="Q100" s="56"/>
      <c r="R100" s="55"/>
      <c r="S100" s="56"/>
      <c r="T100" s="55"/>
      <c r="U100" s="56"/>
      <c r="V100" s="55"/>
      <c r="W100" s="56"/>
    </row>
    <row r="101" spans="1:23" x14ac:dyDescent="0.3">
      <c r="A101" s="31"/>
      <c r="B101" s="32"/>
      <c r="C101" s="25"/>
      <c r="D101" s="39"/>
      <c r="E101" s="39"/>
      <c r="F101" s="28"/>
      <c r="G101" s="17"/>
      <c r="H101" s="19"/>
      <c r="I101" s="33"/>
      <c r="J101" s="34"/>
      <c r="K101" s="22"/>
      <c r="L101" s="55"/>
      <c r="M101" s="56"/>
      <c r="N101" s="55"/>
      <c r="O101" s="56"/>
      <c r="P101" s="55"/>
      <c r="Q101" s="56"/>
      <c r="R101" s="55"/>
      <c r="S101" s="56"/>
      <c r="T101" s="55"/>
      <c r="U101" s="56"/>
      <c r="V101" s="55"/>
      <c r="W101" s="56"/>
    </row>
    <row r="102" spans="1:23" x14ac:dyDescent="0.3">
      <c r="A102" s="31"/>
      <c r="B102" s="32"/>
      <c r="C102" s="25"/>
      <c r="D102" s="39"/>
      <c r="E102" s="39"/>
      <c r="F102" s="28"/>
      <c r="G102" s="17"/>
      <c r="H102" s="19"/>
      <c r="I102" s="33"/>
      <c r="J102" s="34"/>
      <c r="K102" s="22"/>
      <c r="L102" s="55"/>
      <c r="M102" s="56"/>
      <c r="N102" s="55"/>
      <c r="O102" s="56"/>
      <c r="P102" s="55"/>
      <c r="Q102" s="56"/>
      <c r="R102" s="55"/>
      <c r="S102" s="56"/>
      <c r="T102" s="55"/>
      <c r="U102" s="56"/>
      <c r="V102" s="55"/>
      <c r="W102" s="56"/>
    </row>
    <row r="103" spans="1:23" x14ac:dyDescent="0.3">
      <c r="A103" s="31"/>
      <c r="B103" s="43"/>
      <c r="C103" s="25"/>
      <c r="D103" s="39"/>
      <c r="E103" s="39"/>
      <c r="F103" s="28"/>
      <c r="G103" s="17"/>
      <c r="H103" s="19"/>
      <c r="I103" s="33"/>
      <c r="J103" s="34"/>
      <c r="K103" s="22"/>
      <c r="L103" s="55"/>
      <c r="M103" s="56"/>
      <c r="N103" s="55"/>
      <c r="O103" s="56"/>
      <c r="P103" s="55"/>
      <c r="Q103" s="56"/>
      <c r="R103" s="55"/>
      <c r="S103" s="56"/>
      <c r="T103" s="55"/>
      <c r="U103" s="56"/>
      <c r="V103" s="55"/>
      <c r="W103" s="56"/>
    </row>
    <row r="104" spans="1:23" x14ac:dyDescent="0.3">
      <c r="A104" s="31"/>
      <c r="B104" s="32"/>
      <c r="C104" s="25"/>
      <c r="D104" s="39"/>
      <c r="E104" s="39"/>
      <c r="F104" s="28"/>
      <c r="G104" s="17"/>
      <c r="H104" s="19"/>
      <c r="I104" s="33"/>
      <c r="J104" s="34"/>
      <c r="K104" s="22"/>
      <c r="L104" s="55"/>
      <c r="M104" s="56"/>
      <c r="N104" s="55"/>
      <c r="O104" s="56"/>
      <c r="P104" s="55"/>
      <c r="Q104" s="56"/>
      <c r="R104" s="55"/>
      <c r="S104" s="56"/>
      <c r="T104" s="55"/>
      <c r="U104" s="56"/>
      <c r="V104" s="55"/>
      <c r="W104" s="56"/>
    </row>
    <row r="105" spans="1:23" x14ac:dyDescent="0.3">
      <c r="A105" s="31"/>
      <c r="B105" s="32"/>
      <c r="C105" s="25"/>
      <c r="D105" s="39"/>
      <c r="E105" s="39"/>
      <c r="F105" s="28"/>
      <c r="G105" s="17"/>
      <c r="H105" s="19"/>
      <c r="I105" s="33"/>
      <c r="J105" s="34"/>
      <c r="K105" s="22"/>
      <c r="L105" s="55"/>
      <c r="M105" s="56"/>
      <c r="N105" s="55"/>
      <c r="O105" s="56"/>
      <c r="P105" s="55"/>
      <c r="Q105" s="56"/>
      <c r="R105" s="55"/>
      <c r="S105" s="56"/>
      <c r="T105" s="55"/>
      <c r="U105" s="56"/>
      <c r="V105" s="55"/>
      <c r="W105" s="56"/>
    </row>
    <row r="106" spans="1:23" x14ac:dyDescent="0.3">
      <c r="A106" s="31"/>
      <c r="B106" s="32"/>
      <c r="C106" s="25"/>
      <c r="D106" s="39"/>
      <c r="E106" s="39"/>
      <c r="F106" s="28"/>
      <c r="G106" s="17"/>
      <c r="H106" s="19"/>
      <c r="I106" s="33"/>
      <c r="J106" s="34"/>
      <c r="K106" s="22"/>
      <c r="L106" s="55"/>
      <c r="M106" s="56"/>
      <c r="N106" s="55"/>
      <c r="O106" s="56"/>
      <c r="P106" s="55"/>
      <c r="Q106" s="56"/>
      <c r="R106" s="55"/>
      <c r="S106" s="56"/>
      <c r="T106" s="55"/>
      <c r="U106" s="56"/>
      <c r="V106" s="55"/>
      <c r="W106" s="56"/>
    </row>
    <row r="107" spans="1:23" x14ac:dyDescent="0.3">
      <c r="A107" s="31"/>
      <c r="B107" s="32"/>
      <c r="C107" s="25"/>
      <c r="D107" s="39"/>
      <c r="E107" s="39"/>
      <c r="F107" s="28"/>
      <c r="G107" s="17"/>
      <c r="H107" s="19"/>
      <c r="I107" s="33"/>
      <c r="J107" s="34"/>
      <c r="K107" s="22"/>
      <c r="L107" s="55"/>
      <c r="M107" s="56"/>
      <c r="N107" s="55"/>
      <c r="O107" s="56"/>
      <c r="P107" s="55"/>
      <c r="Q107" s="56"/>
      <c r="R107" s="55"/>
      <c r="S107" s="56"/>
      <c r="T107" s="55"/>
      <c r="U107" s="56"/>
      <c r="V107" s="55"/>
      <c r="W107" s="56"/>
    </row>
    <row r="108" spans="1:23" x14ac:dyDescent="0.3">
      <c r="A108" s="31"/>
      <c r="B108" s="43"/>
      <c r="C108" s="25"/>
      <c r="D108" s="39"/>
      <c r="E108" s="39"/>
      <c r="F108" s="28"/>
      <c r="G108" s="17"/>
      <c r="H108" s="19"/>
      <c r="I108" s="33"/>
      <c r="J108" s="34"/>
      <c r="K108" s="22"/>
      <c r="L108" s="55"/>
      <c r="M108" s="56"/>
      <c r="N108" s="55"/>
      <c r="O108" s="56"/>
      <c r="P108" s="55"/>
      <c r="Q108" s="56"/>
      <c r="R108" s="55"/>
      <c r="S108" s="56"/>
      <c r="T108" s="55"/>
      <c r="U108" s="56"/>
      <c r="V108" s="55"/>
      <c r="W108" s="56"/>
    </row>
    <row r="109" spans="1:23" x14ac:dyDescent="0.3">
      <c r="A109" s="31"/>
      <c r="B109" s="32"/>
      <c r="C109" s="25"/>
      <c r="D109" s="39"/>
      <c r="E109" s="39"/>
      <c r="F109" s="28"/>
      <c r="G109" s="17"/>
      <c r="H109" s="19"/>
      <c r="I109" s="33"/>
      <c r="J109" s="34"/>
      <c r="K109" s="22"/>
      <c r="L109" s="55"/>
      <c r="M109" s="56"/>
      <c r="N109" s="55"/>
      <c r="O109" s="56"/>
      <c r="P109" s="55"/>
      <c r="Q109" s="56"/>
      <c r="R109" s="55"/>
      <c r="S109" s="56"/>
      <c r="T109" s="55"/>
      <c r="U109" s="56"/>
      <c r="V109" s="55"/>
      <c r="W109" s="56"/>
    </row>
    <row r="110" spans="1:23" x14ac:dyDescent="0.3">
      <c r="A110" s="31"/>
      <c r="B110" s="32"/>
      <c r="C110" s="25"/>
      <c r="D110" s="39"/>
      <c r="E110" s="39"/>
      <c r="F110" s="28"/>
      <c r="G110" s="17"/>
      <c r="H110" s="19"/>
      <c r="I110" s="33"/>
      <c r="J110" s="34"/>
      <c r="K110" s="22"/>
      <c r="L110" s="55"/>
      <c r="M110" s="56"/>
      <c r="N110" s="55"/>
      <c r="O110" s="56"/>
      <c r="P110" s="55"/>
      <c r="Q110" s="56"/>
      <c r="R110" s="55"/>
      <c r="S110" s="56"/>
      <c r="T110" s="55"/>
      <c r="U110" s="56"/>
      <c r="V110" s="55"/>
      <c r="W110" s="56"/>
    </row>
    <row r="111" spans="1:23" x14ac:dyDescent="0.3">
      <c r="A111" s="31"/>
      <c r="B111" s="32"/>
      <c r="C111" s="25"/>
      <c r="D111" s="39"/>
      <c r="E111" s="39"/>
      <c r="F111" s="28"/>
      <c r="G111" s="17"/>
      <c r="H111" s="19"/>
      <c r="I111" s="33"/>
      <c r="J111" s="34"/>
      <c r="K111" s="22"/>
      <c r="L111" s="55"/>
      <c r="M111" s="56"/>
      <c r="N111" s="55"/>
      <c r="O111" s="56"/>
      <c r="P111" s="55"/>
      <c r="Q111" s="56"/>
      <c r="R111" s="55"/>
      <c r="S111" s="56"/>
      <c r="T111" s="55"/>
      <c r="U111" s="56"/>
      <c r="V111" s="55"/>
      <c r="W111" s="56"/>
    </row>
    <row r="112" spans="1:23" x14ac:dyDescent="0.3">
      <c r="A112" s="31"/>
      <c r="B112" s="32"/>
      <c r="C112" s="25"/>
      <c r="D112" s="39"/>
      <c r="E112" s="39"/>
      <c r="F112" s="28"/>
      <c r="G112" s="17"/>
      <c r="H112" s="19"/>
      <c r="I112" s="33"/>
      <c r="J112" s="34"/>
      <c r="K112" s="22"/>
      <c r="L112" s="55"/>
      <c r="M112" s="56"/>
      <c r="N112" s="55"/>
      <c r="O112" s="56"/>
      <c r="P112" s="55"/>
      <c r="Q112" s="56"/>
      <c r="R112" s="55"/>
      <c r="S112" s="56"/>
      <c r="T112" s="55"/>
      <c r="U112" s="56"/>
      <c r="V112" s="55"/>
      <c r="W112" s="56"/>
    </row>
    <row r="113" spans="1:23" x14ac:dyDescent="0.3">
      <c r="A113" s="31"/>
      <c r="B113" s="32"/>
      <c r="C113" s="25"/>
      <c r="D113" s="39"/>
      <c r="E113" s="39"/>
      <c r="F113" s="28"/>
      <c r="G113" s="17"/>
      <c r="H113" s="19"/>
      <c r="I113" s="33"/>
      <c r="J113" s="34"/>
      <c r="K113" s="22"/>
      <c r="L113" s="55"/>
      <c r="M113" s="56"/>
      <c r="N113" s="55"/>
      <c r="O113" s="56"/>
      <c r="P113" s="55"/>
      <c r="Q113" s="56"/>
      <c r="R113" s="55"/>
      <c r="S113" s="56"/>
      <c r="T113" s="55"/>
      <c r="U113" s="56"/>
      <c r="V113" s="55"/>
      <c r="W113" s="56"/>
    </row>
    <row r="114" spans="1:23" x14ac:dyDescent="0.3">
      <c r="A114" s="31"/>
      <c r="B114" s="41"/>
      <c r="C114" s="25"/>
      <c r="D114" s="39"/>
      <c r="E114" s="39"/>
      <c r="F114" s="28"/>
      <c r="G114" s="17"/>
      <c r="H114" s="19"/>
      <c r="I114" s="33"/>
      <c r="J114" s="34"/>
      <c r="K114" s="22"/>
      <c r="L114" s="55"/>
      <c r="M114" s="56"/>
      <c r="N114" s="55"/>
      <c r="O114" s="56"/>
      <c r="P114" s="55"/>
      <c r="Q114" s="56"/>
      <c r="R114" s="55"/>
      <c r="S114" s="56"/>
      <c r="T114" s="55"/>
      <c r="U114" s="56"/>
      <c r="V114" s="55"/>
      <c r="W114" s="56"/>
    </row>
    <row r="115" spans="1:23" x14ac:dyDescent="0.3">
      <c r="A115" s="31"/>
      <c r="B115" s="41"/>
      <c r="C115" s="25"/>
      <c r="D115" s="39"/>
      <c r="E115" s="39"/>
      <c r="F115" s="28"/>
      <c r="G115" s="17"/>
      <c r="H115" s="19"/>
      <c r="I115" s="33"/>
      <c r="J115" s="34"/>
      <c r="K115" s="22"/>
      <c r="L115" s="55"/>
      <c r="M115" s="56"/>
      <c r="N115" s="55"/>
      <c r="O115" s="56"/>
      <c r="P115" s="55"/>
      <c r="Q115" s="56"/>
      <c r="R115" s="55"/>
      <c r="S115" s="56"/>
      <c r="T115" s="55"/>
      <c r="U115" s="56"/>
      <c r="V115" s="55"/>
      <c r="W115" s="56"/>
    </row>
    <row r="116" spans="1:23" x14ac:dyDescent="0.3">
      <c r="A116" s="31"/>
      <c r="B116" s="32"/>
      <c r="C116" s="25"/>
      <c r="D116" s="39"/>
      <c r="E116" s="39"/>
      <c r="F116" s="28"/>
      <c r="G116" s="17"/>
      <c r="H116" s="19"/>
      <c r="I116" s="33"/>
      <c r="J116" s="34"/>
      <c r="K116" s="22"/>
      <c r="L116" s="55"/>
      <c r="M116" s="56"/>
      <c r="N116" s="55"/>
      <c r="O116" s="56"/>
      <c r="P116" s="55"/>
      <c r="Q116" s="56"/>
      <c r="R116" s="55"/>
      <c r="S116" s="56"/>
      <c r="T116" s="55"/>
      <c r="U116" s="56"/>
      <c r="V116" s="55"/>
      <c r="W116" s="56"/>
    </row>
    <row r="117" spans="1:23" x14ac:dyDescent="0.3">
      <c r="A117" s="31"/>
      <c r="B117" s="32"/>
      <c r="C117" s="25"/>
      <c r="D117" s="39"/>
      <c r="E117" s="39"/>
      <c r="F117" s="28"/>
      <c r="G117" s="17"/>
      <c r="H117" s="19"/>
      <c r="I117" s="33"/>
      <c r="J117" s="34"/>
      <c r="K117" s="22"/>
      <c r="L117" s="55"/>
      <c r="M117" s="56"/>
      <c r="N117" s="55"/>
      <c r="O117" s="56"/>
      <c r="P117" s="55"/>
      <c r="Q117" s="56"/>
      <c r="R117" s="55"/>
      <c r="S117" s="56"/>
      <c r="T117" s="55"/>
      <c r="U117" s="56"/>
      <c r="V117" s="55"/>
      <c r="W117" s="56"/>
    </row>
    <row r="118" spans="1:23" x14ac:dyDescent="0.3">
      <c r="A118" s="31"/>
      <c r="B118" s="32"/>
      <c r="C118" s="25"/>
      <c r="D118" s="39"/>
      <c r="E118" s="39"/>
      <c r="F118" s="28"/>
      <c r="G118" s="17"/>
      <c r="H118" s="19"/>
      <c r="I118" s="33"/>
      <c r="J118" s="34"/>
      <c r="K118" s="22"/>
      <c r="L118" s="55"/>
      <c r="M118" s="56"/>
      <c r="N118" s="55"/>
      <c r="O118" s="56"/>
      <c r="P118" s="55"/>
      <c r="Q118" s="56"/>
      <c r="R118" s="55"/>
      <c r="S118" s="56"/>
      <c r="T118" s="55"/>
      <c r="U118" s="56"/>
      <c r="V118" s="55"/>
      <c r="W118" s="56"/>
    </row>
    <row r="119" spans="1:23" x14ac:dyDescent="0.3">
      <c r="A119" s="31"/>
      <c r="B119" s="32"/>
      <c r="C119" s="25"/>
      <c r="D119" s="39"/>
      <c r="E119" s="39"/>
      <c r="F119" s="28"/>
      <c r="G119" s="17"/>
      <c r="H119" s="19"/>
      <c r="I119" s="33"/>
      <c r="J119" s="34"/>
      <c r="K119" s="22"/>
      <c r="L119" s="55"/>
      <c r="M119" s="56"/>
      <c r="N119" s="55"/>
      <c r="O119" s="56"/>
      <c r="P119" s="55"/>
      <c r="Q119" s="56"/>
      <c r="R119" s="55"/>
      <c r="S119" s="56"/>
      <c r="T119" s="55"/>
      <c r="U119" s="56"/>
      <c r="V119" s="55"/>
      <c r="W119" s="56"/>
    </row>
    <row r="120" spans="1:23" x14ac:dyDescent="0.3">
      <c r="A120" s="31"/>
      <c r="B120" s="32"/>
      <c r="C120" s="25"/>
      <c r="D120" s="39"/>
      <c r="E120" s="39"/>
      <c r="F120" s="28"/>
      <c r="G120" s="17"/>
      <c r="H120" s="19"/>
      <c r="I120" s="33"/>
      <c r="J120" s="34"/>
      <c r="K120" s="22"/>
      <c r="L120" s="55"/>
      <c r="M120" s="56"/>
      <c r="N120" s="55"/>
      <c r="O120" s="56"/>
      <c r="P120" s="55"/>
      <c r="Q120" s="56"/>
      <c r="R120" s="55"/>
      <c r="S120" s="56"/>
      <c r="T120" s="55"/>
      <c r="U120" s="56"/>
      <c r="V120" s="55"/>
      <c r="W120" s="56"/>
    </row>
    <row r="121" spans="1:23" x14ac:dyDescent="0.3">
      <c r="A121" s="31"/>
      <c r="B121" s="32"/>
      <c r="C121" s="25"/>
      <c r="D121" s="39"/>
      <c r="E121" s="39"/>
      <c r="F121" s="28"/>
      <c r="G121" s="17"/>
      <c r="H121" s="19"/>
      <c r="I121" s="33"/>
      <c r="J121" s="34"/>
      <c r="K121" s="22"/>
      <c r="L121" s="55"/>
      <c r="M121" s="56"/>
      <c r="N121" s="55"/>
      <c r="O121" s="56"/>
      <c r="P121" s="55"/>
      <c r="Q121" s="56"/>
      <c r="R121" s="55"/>
      <c r="S121" s="56"/>
      <c r="T121" s="55"/>
      <c r="U121" s="56"/>
      <c r="V121" s="55"/>
      <c r="W121" s="56"/>
    </row>
    <row r="122" spans="1:23" x14ac:dyDescent="0.3">
      <c r="A122" s="31"/>
      <c r="B122" s="32"/>
      <c r="C122" s="25"/>
      <c r="D122" s="39"/>
      <c r="E122" s="39"/>
      <c r="F122" s="28"/>
      <c r="G122" s="17"/>
      <c r="H122" s="19"/>
      <c r="I122" s="33"/>
      <c r="J122" s="34"/>
      <c r="K122" s="22"/>
      <c r="L122" s="55"/>
      <c r="M122" s="56"/>
      <c r="N122" s="55"/>
      <c r="O122" s="56"/>
      <c r="P122" s="55"/>
      <c r="Q122" s="56"/>
      <c r="R122" s="55"/>
      <c r="S122" s="56"/>
      <c r="T122" s="55"/>
      <c r="U122" s="56"/>
      <c r="V122" s="55"/>
      <c r="W122" s="56"/>
    </row>
    <row r="123" spans="1:23" x14ac:dyDescent="0.3">
      <c r="A123" s="31"/>
      <c r="B123" s="43"/>
      <c r="C123" s="25"/>
      <c r="D123" s="39"/>
      <c r="E123" s="39"/>
      <c r="F123" s="28"/>
      <c r="G123" s="17"/>
      <c r="H123" s="19"/>
      <c r="I123" s="33"/>
      <c r="J123" s="34"/>
      <c r="K123" s="22"/>
      <c r="L123" s="55"/>
      <c r="M123" s="56"/>
      <c r="N123" s="55"/>
      <c r="O123" s="56"/>
      <c r="P123" s="55"/>
      <c r="Q123" s="56"/>
      <c r="R123" s="55"/>
      <c r="S123" s="56"/>
      <c r="T123" s="55"/>
      <c r="U123" s="56"/>
      <c r="V123" s="55"/>
      <c r="W123" s="56"/>
    </row>
    <row r="124" spans="1:23" x14ac:dyDescent="0.3">
      <c r="A124" s="31"/>
      <c r="B124" s="5"/>
      <c r="C124" s="25"/>
      <c r="D124" s="39"/>
      <c r="E124" s="39"/>
      <c r="F124" s="28"/>
      <c r="G124" s="17"/>
      <c r="H124" s="19"/>
      <c r="I124" s="33"/>
      <c r="J124" s="34"/>
      <c r="K124" s="22"/>
      <c r="L124" s="55"/>
      <c r="M124" s="56"/>
      <c r="N124" s="55"/>
      <c r="O124" s="56"/>
      <c r="P124" s="55"/>
      <c r="Q124" s="56"/>
      <c r="R124" s="55"/>
      <c r="S124" s="56"/>
      <c r="T124" s="55"/>
      <c r="U124" s="56"/>
      <c r="V124" s="55"/>
      <c r="W124" s="56"/>
    </row>
    <row r="125" spans="1:23" x14ac:dyDescent="0.3">
      <c r="A125" s="31"/>
      <c r="B125" s="43"/>
      <c r="C125" s="25"/>
      <c r="D125" s="39"/>
      <c r="E125" s="39"/>
      <c r="F125" s="28"/>
      <c r="G125" s="17"/>
      <c r="H125" s="19"/>
      <c r="I125" s="33"/>
      <c r="J125" s="34"/>
      <c r="K125" s="22"/>
      <c r="L125" s="55"/>
      <c r="M125" s="56"/>
      <c r="N125" s="55"/>
      <c r="O125" s="56"/>
      <c r="P125" s="55"/>
      <c r="Q125" s="56"/>
      <c r="R125" s="55"/>
      <c r="S125" s="56"/>
      <c r="T125" s="55"/>
      <c r="U125" s="56"/>
      <c r="V125" s="55"/>
      <c r="W125" s="56"/>
    </row>
    <row r="126" spans="1:23" x14ac:dyDescent="0.3">
      <c r="A126" s="31"/>
      <c r="B126" s="43"/>
      <c r="C126" s="25"/>
      <c r="D126" s="39"/>
      <c r="E126" s="39"/>
      <c r="F126" s="28"/>
      <c r="G126" s="17"/>
      <c r="H126" s="19"/>
      <c r="I126" s="33"/>
      <c r="J126" s="34"/>
      <c r="K126" s="22"/>
      <c r="L126" s="55"/>
      <c r="M126" s="56"/>
      <c r="N126" s="55"/>
      <c r="O126" s="56"/>
      <c r="P126" s="55"/>
      <c r="Q126" s="56"/>
      <c r="R126" s="55"/>
      <c r="S126" s="56"/>
      <c r="T126" s="55"/>
      <c r="U126" s="56"/>
      <c r="V126" s="55"/>
      <c r="W126" s="56"/>
    </row>
    <row r="127" spans="1:23" x14ac:dyDescent="0.3">
      <c r="A127" s="31"/>
      <c r="B127" s="32"/>
      <c r="C127" s="25"/>
      <c r="D127" s="39"/>
      <c r="E127" s="39"/>
      <c r="F127" s="28"/>
      <c r="G127" s="17"/>
      <c r="H127" s="19"/>
      <c r="I127" s="33"/>
      <c r="J127" s="34"/>
      <c r="K127" s="22"/>
      <c r="L127" s="55"/>
      <c r="M127" s="56"/>
      <c r="N127" s="55"/>
      <c r="O127" s="56"/>
      <c r="P127" s="55"/>
      <c r="Q127" s="56"/>
      <c r="R127" s="55"/>
      <c r="S127" s="56"/>
      <c r="T127" s="55"/>
      <c r="U127" s="56"/>
      <c r="V127" s="55"/>
      <c r="W127" s="56"/>
    </row>
  </sheetData>
  <sheetProtection selectLockedCells="1" selectUnlockedCells="1"/>
  <conditionalFormatting sqref="G2:G127">
    <cfRule type="cellIs" dxfId="0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75D2-686C-47F0-9F99-AF88CA9FD1F1}">
  <sheetPr>
    <tabColor rgb="FFFFC000"/>
  </sheetPr>
  <dimension ref="A1:AK100"/>
  <sheetViews>
    <sheetView tabSelected="1" zoomScale="70" zoomScaleNormal="70" workbookViewId="0">
      <pane xSplit="9" ySplit="1" topLeftCell="J40" activePane="bottomRight" state="frozen"/>
      <selection pane="topRight" activeCell="J1" sqref="J1"/>
      <selection pane="bottomLeft" activeCell="A2" sqref="A2"/>
      <selection pane="bottomRight" activeCell="K64" sqref="K64"/>
    </sheetView>
  </sheetViews>
  <sheetFormatPr defaultColWidth="9.109375" defaultRowHeight="14.4" x14ac:dyDescent="0.3"/>
  <cols>
    <col min="1" max="1" width="16.5546875" style="1" customWidth="1"/>
    <col min="2" max="2" width="16.5546875" style="1" hidden="1" customWidth="1"/>
    <col min="3" max="3" width="22.5546875" style="1" bestFit="1" customWidth="1"/>
    <col min="4" max="4" width="20" style="1" bestFit="1" customWidth="1"/>
    <col min="5" max="6" width="9.109375" style="1"/>
    <col min="7" max="7" width="9.109375" style="1" hidden="1" customWidth="1"/>
    <col min="8" max="8" width="16" style="1" hidden="1" customWidth="1"/>
    <col min="9" max="9" width="13.6640625" style="1" customWidth="1"/>
    <col min="10" max="10" width="13.109375" style="1" customWidth="1"/>
    <col min="11" max="11" width="17" style="1" customWidth="1"/>
    <col min="12" max="12" width="16.6640625" style="1" customWidth="1"/>
    <col min="13" max="13" width="18.44140625" style="1" customWidth="1"/>
    <col min="14" max="14" width="18" style="1" customWidth="1"/>
    <col min="15" max="15" width="19.33203125" style="1" customWidth="1"/>
    <col min="16" max="16" width="14.44140625" style="1" customWidth="1"/>
    <col min="17" max="17" width="14.33203125" style="1" customWidth="1"/>
    <col min="18" max="18" width="14.44140625" style="1" customWidth="1"/>
    <col min="19" max="19" width="14.33203125" style="1" customWidth="1"/>
    <col min="20" max="20" width="14.5546875" style="1" customWidth="1"/>
    <col min="21" max="21" width="14.109375" style="1" customWidth="1"/>
    <col min="22" max="22" width="14.44140625" style="1" customWidth="1"/>
    <col min="23" max="23" width="14.109375" style="1" hidden="1" customWidth="1"/>
    <col min="24" max="24" width="21.5546875" style="1" hidden="1" customWidth="1"/>
    <col min="25" max="25" width="15.5546875" style="1" hidden="1" customWidth="1"/>
    <col min="26" max="26" width="16.33203125" style="1" hidden="1" customWidth="1"/>
    <col min="27" max="27" width="17.109375" style="1" hidden="1" customWidth="1"/>
    <col min="28" max="28" width="22.109375" style="1" hidden="1" customWidth="1"/>
    <col min="29" max="29" width="23.33203125" style="1" hidden="1" customWidth="1"/>
    <col min="30" max="30" width="21.6640625" style="1" hidden="1" customWidth="1"/>
    <col min="31" max="31" width="16.33203125" style="1" hidden="1" customWidth="1"/>
    <col min="32" max="32" width="18.33203125" style="1" hidden="1" customWidth="1"/>
    <col min="33" max="33" width="15.6640625" style="1" hidden="1" customWidth="1"/>
    <col min="34" max="34" width="13.6640625" style="1" hidden="1" customWidth="1"/>
    <col min="35" max="35" width="20.88671875" style="1" hidden="1" customWidth="1"/>
    <col min="36" max="36" width="11" style="1" hidden="1" customWidth="1"/>
    <col min="37" max="16384" width="9.109375" style="1"/>
  </cols>
  <sheetData>
    <row r="1" spans="1:37" s="9" customFormat="1" ht="55.5" customHeight="1" x14ac:dyDescent="0.3">
      <c r="A1" s="6" t="s">
        <v>187</v>
      </c>
      <c r="B1" s="6" t="s">
        <v>446</v>
      </c>
      <c r="C1" s="7" t="s">
        <v>3</v>
      </c>
      <c r="D1" s="7" t="s">
        <v>4</v>
      </c>
      <c r="E1" s="7" t="s">
        <v>5</v>
      </c>
      <c r="F1" s="7" t="s">
        <v>259</v>
      </c>
      <c r="G1" s="7" t="s">
        <v>8</v>
      </c>
      <c r="H1" s="8" t="s">
        <v>189</v>
      </c>
      <c r="I1" s="8" t="s">
        <v>190</v>
      </c>
      <c r="J1" s="7" t="s">
        <v>191</v>
      </c>
      <c r="K1" s="68" t="s">
        <v>192</v>
      </c>
      <c r="L1" s="68" t="s">
        <v>193</v>
      </c>
      <c r="M1" s="68" t="s">
        <v>194</v>
      </c>
      <c r="N1" s="68" t="s">
        <v>195</v>
      </c>
      <c r="O1" s="68" t="s">
        <v>196</v>
      </c>
      <c r="P1" s="68" t="s">
        <v>197</v>
      </c>
      <c r="Q1" s="68" t="s">
        <v>198</v>
      </c>
      <c r="R1" s="68" t="s">
        <v>199</v>
      </c>
      <c r="S1" s="68" t="s">
        <v>200</v>
      </c>
      <c r="T1" s="68" t="s">
        <v>201</v>
      </c>
      <c r="U1" s="68" t="s">
        <v>202</v>
      </c>
      <c r="V1" s="68" t="s">
        <v>203</v>
      </c>
      <c r="W1" s="68" t="s">
        <v>204</v>
      </c>
      <c r="X1" s="68" t="s">
        <v>205</v>
      </c>
      <c r="Y1" s="68" t="s">
        <v>206</v>
      </c>
      <c r="Z1" s="68" t="s">
        <v>207</v>
      </c>
      <c r="AA1" s="68" t="s">
        <v>208</v>
      </c>
      <c r="AB1" s="68" t="s">
        <v>209</v>
      </c>
      <c r="AC1" s="68" t="s">
        <v>210</v>
      </c>
      <c r="AD1" s="68" t="s">
        <v>211</v>
      </c>
      <c r="AE1" s="68" t="s">
        <v>212</v>
      </c>
      <c r="AF1" s="68" t="s">
        <v>213</v>
      </c>
      <c r="AG1" s="68" t="s">
        <v>214</v>
      </c>
      <c r="AH1" s="68" t="s">
        <v>215</v>
      </c>
      <c r="AI1" s="68" t="s">
        <v>216</v>
      </c>
      <c r="AJ1" s="69" t="s">
        <v>235</v>
      </c>
      <c r="AK1" s="70"/>
    </row>
    <row r="2" spans="1:37" x14ac:dyDescent="0.3">
      <c r="A2" s="2">
        <v>127</v>
      </c>
      <c r="B2" s="2" t="str">
        <f>_xlfn.XLOOKUP(Table219[[#This Row],[SAPSA Number]],Table1[SAPSA number],Table1[Paid up])</f>
        <v>Y</v>
      </c>
      <c r="C2" s="5" t="s">
        <v>65</v>
      </c>
      <c r="D2" s="5" t="s">
        <v>66</v>
      </c>
      <c r="E2" s="58" t="s">
        <v>63</v>
      </c>
      <c r="F2" s="72" t="str">
        <f>_xlfn.XLOOKUP(Table219[[#This Row],[SAPSA Number]],Table1[SAPSA number],Table1[Gender])</f>
        <v>SS</v>
      </c>
      <c r="G2" s="2">
        <f ca="1">_xlfn.XLOOKUP(Table219[[#This Row],[SAPSA Number]],Table1[SAPSA number],Table1[Age])</f>
        <v>66</v>
      </c>
      <c r="H2" s="81" t="s">
        <v>277</v>
      </c>
      <c r="I2" s="3">
        <f>SUM(Table219[[#This Row],[Club Points]:[League Points Earned - Dec]])</f>
        <v>33</v>
      </c>
      <c r="J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10</v>
      </c>
      <c r="K2" s="3"/>
      <c r="L2" s="3">
        <v>5</v>
      </c>
      <c r="M2" s="3">
        <v>2</v>
      </c>
      <c r="N2" s="3">
        <v>2</v>
      </c>
      <c r="O2" s="3">
        <v>2</v>
      </c>
      <c r="P2" s="3">
        <v>2</v>
      </c>
      <c r="Q2" s="3">
        <v>2</v>
      </c>
      <c r="R2" s="3">
        <v>2</v>
      </c>
      <c r="S2" s="3">
        <v>2</v>
      </c>
      <c r="T2" s="3">
        <v>4</v>
      </c>
      <c r="U2" s="3"/>
      <c r="V2" s="3"/>
      <c r="W2" s="3">
        <f>_xlfn.XLOOKUP(Table219[[#This Row],[SAPSA Number]],'STD Handgun'!B:B,'STD Handgun'!J:J)</f>
        <v>10</v>
      </c>
      <c r="X2" s="3">
        <f>_xlfn.XLOOKUP(Table219[[#This Row],[SAPSA Number]],'PROD OPTICS Handgun'!B:B,'PROD OPTICS Handgun'!J:J)</f>
        <v>0</v>
      </c>
      <c r="Y2" s="3">
        <f>_xlfn.XLOOKUP(Table219[[#This Row],[SAPSA Number]],'PROD Handgun'!B:B,'PROD Handgun'!J:J)</f>
        <v>0</v>
      </c>
      <c r="Z2" s="3">
        <f>_xlfn.XLOOKUP(Table219[[#This Row],[SAPSA Number]],'OPEN Handgun'!B:B,'OPEN Handgun'!J:J)</f>
        <v>0</v>
      </c>
      <c r="AA2" s="3">
        <f>_xlfn.XLOOKUP(Table219[[#This Row],[SAPSA Number]],'CLASSIC Handgun'!B:B,'CLASSIC Handgun'!J:J)</f>
        <v>0</v>
      </c>
      <c r="AB2" s="3">
        <f>_xlfn.XLOOKUP(Table219[[#This Row],[SAPSA Number]],PCC!B:B,PCC!J:J)</f>
        <v>0</v>
      </c>
      <c r="AC2" s="3">
        <f>_xlfn.XLOOKUP(Table219[[#This Row],[SAPSA Number]],'SAOpen Rifle'!B:B,'SAOpen Rifle'!J:J)</f>
        <v>0</v>
      </c>
      <c r="AD2" s="3">
        <f>_xlfn.XLOOKUP(Table219[[#This Row],[SAPSA Number]],'SA Std Rifle'!B:B,'SA Std Rifle'!J:J)</f>
        <v>0</v>
      </c>
      <c r="AE2" s="3">
        <f>_xlfn.XLOOKUP(Table219[[#This Row],[SAPSA Number]],'STD Mini Rifle'!B:B,'STD Mini Rifle'!J:J)</f>
        <v>0</v>
      </c>
      <c r="AF2" s="3">
        <f>_xlfn.XLOOKUP(Table219[[#This Row],[SAPSA Number]],'Open Mini Rifle'!B:B,'Open Mini Rifle'!J:J)</f>
        <v>0</v>
      </c>
      <c r="AG2" s="3">
        <f>_xlfn.XLOOKUP(Table219[[#This Row],[SAPSA Number]],'SA OPEN Shotgun'!B:B,'SA OPEN Shotgun'!J:J)</f>
        <v>0</v>
      </c>
      <c r="AH2" s="3">
        <f>_xlfn.XLOOKUP(Table219[[#This Row],[SAPSA Number]],'SA STD Shotgun'!B:B,'SA STD Shotgun'!J:J)</f>
        <v>0</v>
      </c>
      <c r="AI2" s="3">
        <f>_xlfn.XLOOKUP(Table219[[#This Row],[SAPSA Number]],'MAN STD Shotgun'!B:B,'MAN STD Shotgun'!J:J)</f>
        <v>0</v>
      </c>
      <c r="AJ2" s="4">
        <f>_xlfn.XLOOKUP(Table219[[#This Row],[SAPSA Number]],'MODIFIED Shotgun'!B:B,'MODIFIED Shotgun'!J:J)</f>
        <v>0</v>
      </c>
    </row>
    <row r="3" spans="1:37" x14ac:dyDescent="0.3">
      <c r="A3" s="2">
        <v>206</v>
      </c>
      <c r="B3" s="2" t="s">
        <v>473</v>
      </c>
      <c r="C3" s="5" t="s">
        <v>137</v>
      </c>
      <c r="D3" s="5" t="s">
        <v>138</v>
      </c>
      <c r="E3" s="3" t="s">
        <v>139</v>
      </c>
      <c r="F3" s="73" t="str">
        <f ca="1">_xlfn.XLOOKUP(Table219[[#This Row],[SAPSA Number]],Table1[SAPSA number],Table1[Gender])</f>
        <v>S</v>
      </c>
      <c r="G3" s="3">
        <f ca="1">_xlfn.XLOOKUP(Table219[[#This Row],[SAPSA Number]],Table1[SAPSA number],Table1[Age])</f>
        <v>55</v>
      </c>
      <c r="H3" s="3">
        <v>0</v>
      </c>
      <c r="I3" s="3">
        <f>SUM(Table219[[#This Row],[Club Points]:[League Points Earned - Dec]])</f>
        <v>6</v>
      </c>
      <c r="J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</v>
      </c>
      <c r="K3" s="3"/>
      <c r="L3" s="3">
        <v>3</v>
      </c>
      <c r="M3" s="3"/>
      <c r="N3" s="3"/>
      <c r="O3" s="3">
        <v>2</v>
      </c>
      <c r="P3" s="3"/>
      <c r="Q3" s="3"/>
      <c r="R3" s="3"/>
      <c r="S3" s="3"/>
      <c r="T3" s="3"/>
      <c r="U3" s="3"/>
      <c r="V3" s="3"/>
      <c r="W3" s="3">
        <f>_xlfn.XLOOKUP(Table219[[#This Row],[SAPSA Number]],'STD Handgun'!B:B,'STD Handgun'!J:J)</f>
        <v>0</v>
      </c>
      <c r="X3" s="3">
        <f>_xlfn.XLOOKUP(Table219[[#This Row],[SAPSA Number]],'PROD OPTICS Handgun'!B:B,'PROD OPTICS Handgun'!J:J)</f>
        <v>0</v>
      </c>
      <c r="Y3" s="3">
        <f>_xlfn.XLOOKUP(Table219[[#This Row],[SAPSA Number]],'PROD Handgun'!B:B,'PROD Handgun'!J:J)</f>
        <v>0</v>
      </c>
      <c r="Z3" s="3">
        <f>_xlfn.XLOOKUP(Table219[[#This Row],[SAPSA Number]],'OPEN Handgun'!B:B,'OPEN Handgun'!J:J)</f>
        <v>1</v>
      </c>
      <c r="AA3" s="3">
        <f>_xlfn.XLOOKUP(Table219[[#This Row],[SAPSA Number]],'CLASSIC Handgun'!B:B,'CLASSIC Handgun'!J:J)</f>
        <v>0</v>
      </c>
      <c r="AB3" s="3">
        <f>_xlfn.XLOOKUP(Table219[[#This Row],[SAPSA Number]],PCC!B:B,PCC!J:J)</f>
        <v>0</v>
      </c>
      <c r="AC3" s="3">
        <f>_xlfn.XLOOKUP(Table219[[#This Row],[SAPSA Number]],'SAOpen Rifle'!B:B,'SAOpen Rifle'!J:J)</f>
        <v>0</v>
      </c>
      <c r="AD3" s="3">
        <f>_xlfn.XLOOKUP(Table219[[#This Row],[SAPSA Number]],'SA Std Rifle'!B:B,'SA Std Rifle'!J:J)</f>
        <v>0</v>
      </c>
      <c r="AE3" s="3">
        <f>_xlfn.XLOOKUP(Table219[[#This Row],[SAPSA Number]],'STD Mini Rifle'!B:B,'STD Mini Rifle'!J:J)</f>
        <v>0</v>
      </c>
      <c r="AF3" s="3">
        <f>_xlfn.XLOOKUP(Table219[[#This Row],[SAPSA Number]],'Open Mini Rifle'!B:B,'Open Mini Rifle'!J:J)</f>
        <v>0</v>
      </c>
      <c r="AG3" s="3">
        <f>_xlfn.XLOOKUP(Table219[[#This Row],[SAPSA Number]],'SA OPEN Shotgun'!B:B,'SA OPEN Shotgun'!J:J)</f>
        <v>0</v>
      </c>
      <c r="AH3" s="3">
        <f>_xlfn.XLOOKUP(Table219[[#This Row],[SAPSA Number]],'SA STD Shotgun'!B:B,'SA STD Shotgun'!J:J)</f>
        <v>0</v>
      </c>
      <c r="AI3" s="3">
        <f>_xlfn.XLOOKUP(Table219[[#This Row],[SAPSA Number]],'MAN STD Shotgun'!B:B,'MAN STD Shotgun'!J:J)</f>
        <v>0</v>
      </c>
      <c r="AJ3" s="4">
        <f>_xlfn.XLOOKUP(Table219[[#This Row],[SAPSA Number]],'MODIFIED Shotgun'!B:B,'MODIFIED Shotgun'!J:J)</f>
        <v>0</v>
      </c>
    </row>
    <row r="4" spans="1:37" x14ac:dyDescent="0.3">
      <c r="A4" s="2">
        <v>250</v>
      </c>
      <c r="B4" s="2" t="s">
        <v>473</v>
      </c>
      <c r="C4" s="5" t="s">
        <v>10</v>
      </c>
      <c r="D4" s="5" t="s">
        <v>11</v>
      </c>
      <c r="E4" s="3" t="s">
        <v>12</v>
      </c>
      <c r="F4" s="73" t="str">
        <f ca="1">_xlfn.XLOOKUP(Table219[[#This Row],[SAPSA Number]],Table1[SAPSA number],Table1[Gender])</f>
        <v>SS</v>
      </c>
      <c r="G4" s="3">
        <f ca="1">_xlfn.XLOOKUP(Table219[[#This Row],[SAPSA Number]],Table1[SAPSA number],Table1[Age])</f>
        <v>66</v>
      </c>
      <c r="H4" s="3">
        <v>4</v>
      </c>
      <c r="I4" s="3">
        <f>SUM(Table219[[#This Row],[Club Points]:[League Points Earned - Dec]])</f>
        <v>21</v>
      </c>
      <c r="J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18</v>
      </c>
      <c r="K4" s="3"/>
      <c r="L4" s="3"/>
      <c r="M4" s="3"/>
      <c r="N4" s="3"/>
      <c r="O4" s="3">
        <v>2</v>
      </c>
      <c r="P4" s="3"/>
      <c r="Q4" s="3"/>
      <c r="R4" s="3"/>
      <c r="S4" s="3"/>
      <c r="T4" s="3"/>
      <c r="U4" s="3">
        <v>1</v>
      </c>
      <c r="V4" s="3"/>
      <c r="W4" s="3">
        <f>_xlfn.XLOOKUP(Table219[[#This Row],[SAPSA Number]],'STD Handgun'!B:B,'STD Handgun'!J:J)</f>
        <v>8</v>
      </c>
      <c r="X4" s="3">
        <f>_xlfn.XLOOKUP(Table219[[#This Row],[SAPSA Number]],'PROD OPTICS Handgun'!B:B,'PROD OPTICS Handgun'!J:J)</f>
        <v>0</v>
      </c>
      <c r="Y4" s="3">
        <f>_xlfn.XLOOKUP(Table219[[#This Row],[SAPSA Number]],'PROD Handgun'!B:B,'PROD Handgun'!J:J)</f>
        <v>0</v>
      </c>
      <c r="Z4" s="3">
        <f>_xlfn.XLOOKUP(Table219[[#This Row],[SAPSA Number]],'OPEN Handgun'!B:B,'OPEN Handgun'!J:J)</f>
        <v>0</v>
      </c>
      <c r="AA4" s="3">
        <f>_xlfn.XLOOKUP(Table219[[#This Row],[SAPSA Number]],'CLASSIC Handgun'!B:B,'CLASSIC Handgun'!J:J)</f>
        <v>0</v>
      </c>
      <c r="AB4" s="3">
        <f>_xlfn.XLOOKUP(Table219[[#This Row],[SAPSA Number]],PCC!B:B,PCC!J:J)</f>
        <v>6</v>
      </c>
      <c r="AC4" s="3">
        <f>_xlfn.XLOOKUP(Table219[[#This Row],[SAPSA Number]],'SAOpen Rifle'!B:B,'SAOpen Rifle'!J:J)</f>
        <v>4</v>
      </c>
      <c r="AD4" s="3">
        <f>_xlfn.XLOOKUP(Table219[[#This Row],[SAPSA Number]],'SA Std Rifle'!B:B,'SA Std Rifle'!J:J)</f>
        <v>0</v>
      </c>
      <c r="AE4" s="3">
        <f>_xlfn.XLOOKUP(Table219[[#This Row],[SAPSA Number]],'STD Mini Rifle'!B:B,'STD Mini Rifle'!J:J)</f>
        <v>0</v>
      </c>
      <c r="AF4" s="3">
        <f>_xlfn.XLOOKUP(Table219[[#This Row],[SAPSA Number]],'Open Mini Rifle'!B:B,'Open Mini Rifle'!J:J)</f>
        <v>0</v>
      </c>
      <c r="AG4" s="3">
        <f>_xlfn.XLOOKUP(Table219[[#This Row],[SAPSA Number]],'SA OPEN Shotgun'!B:B,'SA OPEN Shotgun'!J:J)</f>
        <v>0</v>
      </c>
      <c r="AH4" s="3">
        <f>_xlfn.XLOOKUP(Table219[[#This Row],[SAPSA Number]],'SA STD Shotgun'!B:B,'SA STD Shotgun'!J:J)</f>
        <v>0</v>
      </c>
      <c r="AI4" s="3">
        <f>_xlfn.XLOOKUP(Table219[[#This Row],[SAPSA Number]],'MAN STD Shotgun'!B:B,'MAN STD Shotgun'!J:J)</f>
        <v>0</v>
      </c>
      <c r="AJ4" s="4">
        <f>_xlfn.XLOOKUP(Table219[[#This Row],[SAPSA Number]],'MODIFIED Shotgun'!B:B,'MODIFIED Shotgun'!J:J)</f>
        <v>0</v>
      </c>
    </row>
    <row r="5" spans="1:37" x14ac:dyDescent="0.3">
      <c r="A5" s="2">
        <v>252</v>
      </c>
      <c r="B5" s="2" t="str">
        <f>_xlfn.XLOOKUP(Table219[[#This Row],[SAPSA Number]],Table1[SAPSA number],Table1[Paid up])</f>
        <v>Y</v>
      </c>
      <c r="C5" s="5" t="s">
        <v>47</v>
      </c>
      <c r="D5" s="5" t="s">
        <v>48</v>
      </c>
      <c r="E5" s="3" t="s">
        <v>46</v>
      </c>
      <c r="F5" s="73" t="str">
        <f ca="1">_xlfn.XLOOKUP(Table219[[#This Row],[SAPSA Number]],Table1[SAPSA number],Table1[Gender])</f>
        <v>GS</v>
      </c>
      <c r="G5" s="3">
        <f ca="1">_xlfn.XLOOKUP(Table219[[#This Row],[SAPSA Number]],Table1[SAPSA number],Table1[Age])</f>
        <v>70</v>
      </c>
      <c r="H5" s="3">
        <v>5</v>
      </c>
      <c r="I5" s="3">
        <f>SUM(Table219[[#This Row],[Club Points]:[League Points Earned - Dec]])</f>
        <v>13</v>
      </c>
      <c r="J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5</v>
      </c>
      <c r="K5" s="3"/>
      <c r="L5" s="3">
        <v>2</v>
      </c>
      <c r="M5" s="3"/>
      <c r="N5" s="3">
        <v>2</v>
      </c>
      <c r="O5" s="3">
        <v>2</v>
      </c>
      <c r="P5" s="3"/>
      <c r="Q5" s="3">
        <v>2</v>
      </c>
      <c r="R5" s="3"/>
      <c r="S5" s="3"/>
      <c r="T5" s="3"/>
      <c r="U5" s="3"/>
      <c r="V5" s="3"/>
      <c r="W5" s="3">
        <f>_xlfn.XLOOKUP(Table219[[#This Row],[SAPSA Number]],'STD Handgun'!B:B,'STD Handgun'!J:J)</f>
        <v>5</v>
      </c>
      <c r="X5" s="3">
        <f>_xlfn.XLOOKUP(Table219[[#This Row],[SAPSA Number]],'PROD OPTICS Handgun'!B:B,'PROD OPTICS Handgun'!J:J)</f>
        <v>0</v>
      </c>
      <c r="Y5" s="3">
        <f>_xlfn.XLOOKUP(Table219[[#This Row],[SAPSA Number]],'PROD Handgun'!B:B,'PROD Handgun'!J:J)</f>
        <v>0</v>
      </c>
      <c r="Z5" s="3">
        <f>_xlfn.XLOOKUP(Table219[[#This Row],[SAPSA Number]],'OPEN Handgun'!B:B,'OPEN Handgun'!J:J)</f>
        <v>0</v>
      </c>
      <c r="AA5" s="3">
        <f>_xlfn.XLOOKUP(Table219[[#This Row],[SAPSA Number]],'CLASSIC Handgun'!B:B,'CLASSIC Handgun'!J:J)</f>
        <v>0</v>
      </c>
      <c r="AB5" s="3">
        <f>_xlfn.XLOOKUP(Table219[[#This Row],[SAPSA Number]],PCC!B:B,PCC!J:J)</f>
        <v>0</v>
      </c>
      <c r="AC5" s="3">
        <f>_xlfn.XLOOKUP(Table219[[#This Row],[SAPSA Number]],'SAOpen Rifle'!B:B,'SAOpen Rifle'!J:J)</f>
        <v>0</v>
      </c>
      <c r="AD5" s="3">
        <f>_xlfn.XLOOKUP(Table219[[#This Row],[SAPSA Number]],'SA Std Rifle'!B:B,'SA Std Rifle'!J:J)</f>
        <v>0</v>
      </c>
      <c r="AE5" s="3">
        <f>_xlfn.XLOOKUP(Table219[[#This Row],[SAPSA Number]],'STD Mini Rifle'!B:B,'STD Mini Rifle'!J:J)</f>
        <v>0</v>
      </c>
      <c r="AF5" s="3">
        <f>_xlfn.XLOOKUP(Table219[[#This Row],[SAPSA Number]],'Open Mini Rifle'!B:B,'Open Mini Rifle'!J:J)</f>
        <v>0</v>
      </c>
      <c r="AG5" s="3">
        <f>_xlfn.XLOOKUP(Table219[[#This Row],[SAPSA Number]],'SA OPEN Shotgun'!B:B,'SA OPEN Shotgun'!J:J)</f>
        <v>0</v>
      </c>
      <c r="AH5" s="3">
        <f>_xlfn.XLOOKUP(Table219[[#This Row],[SAPSA Number]],'SA STD Shotgun'!B:B,'SA STD Shotgun'!J:J)</f>
        <v>0</v>
      </c>
      <c r="AI5" s="3">
        <f>_xlfn.XLOOKUP(Table219[[#This Row],[SAPSA Number]],'MAN STD Shotgun'!B:B,'MAN STD Shotgun'!J:J)</f>
        <v>0</v>
      </c>
      <c r="AJ5" s="4">
        <f>_xlfn.XLOOKUP(Table219[[#This Row],[SAPSA Number]],'MODIFIED Shotgun'!B:B,'MODIFIED Shotgun'!J:J)</f>
        <v>0</v>
      </c>
    </row>
    <row r="6" spans="1:37" x14ac:dyDescent="0.3">
      <c r="A6" s="2">
        <v>259</v>
      </c>
      <c r="B6" s="2" t="str">
        <f>_xlfn.XLOOKUP(Table219[[#This Row],[SAPSA Number]],Table1[SAPSA number],Table1[Paid up])</f>
        <v>Y</v>
      </c>
      <c r="C6" s="5" t="s">
        <v>116</v>
      </c>
      <c r="D6" s="5" t="s">
        <v>117</v>
      </c>
      <c r="E6" s="3" t="s">
        <v>118</v>
      </c>
      <c r="F6" s="73" t="str">
        <f>_xlfn.XLOOKUP(Table219[[#This Row],[SAPSA Number]],Table1[SAPSA number],Table1[Gender])</f>
        <v>Lady</v>
      </c>
      <c r="G6" s="3">
        <f ca="1">_xlfn.XLOOKUP(Table219[[#This Row],[SAPSA Number]],Table1[SAPSA number],Table1[Age])</f>
        <v>39</v>
      </c>
      <c r="H6" s="3">
        <v>0</v>
      </c>
      <c r="I6" s="3">
        <f>SUM(Table219[[#This Row],[Club Points]:[League Points Earned - Dec]])</f>
        <v>0</v>
      </c>
      <c r="J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>
        <f>_xlfn.XLOOKUP(Table219[[#This Row],[SAPSA Number]],'STD Handgun'!B:B,'STD Handgun'!J:J)</f>
        <v>0</v>
      </c>
      <c r="X6" s="3">
        <f>_xlfn.XLOOKUP(Table219[[#This Row],[SAPSA Number]],'PROD OPTICS Handgun'!B:B,'PROD OPTICS Handgun'!J:J)</f>
        <v>0</v>
      </c>
      <c r="Y6" s="3">
        <f>_xlfn.XLOOKUP(Table219[[#This Row],[SAPSA Number]],'PROD Handgun'!B:B,'PROD Handgun'!J:J)</f>
        <v>0</v>
      </c>
      <c r="Z6" s="3">
        <f>_xlfn.XLOOKUP(Table219[[#This Row],[SAPSA Number]],'OPEN Handgun'!B:B,'OPEN Handgun'!J:J)</f>
        <v>0</v>
      </c>
      <c r="AA6" s="3">
        <f>_xlfn.XLOOKUP(Table219[[#This Row],[SAPSA Number]],'CLASSIC Handgun'!B:B,'CLASSIC Handgun'!J:J)</f>
        <v>0</v>
      </c>
      <c r="AB6" s="3">
        <f>_xlfn.XLOOKUP(Table219[[#This Row],[SAPSA Number]],PCC!B:B,PCC!J:J)</f>
        <v>0</v>
      </c>
      <c r="AC6" s="3">
        <f>_xlfn.XLOOKUP(Table219[[#This Row],[SAPSA Number]],'SAOpen Rifle'!B:B,'SAOpen Rifle'!J:J)</f>
        <v>0</v>
      </c>
      <c r="AD6" s="3">
        <f>_xlfn.XLOOKUP(Table219[[#This Row],[SAPSA Number]],'SA Std Rifle'!B:B,'SA Std Rifle'!J:J)</f>
        <v>0</v>
      </c>
      <c r="AE6" s="3">
        <f>_xlfn.XLOOKUP(Table219[[#This Row],[SAPSA Number]],'STD Mini Rifle'!B:B,'STD Mini Rifle'!J:J)</f>
        <v>0</v>
      </c>
      <c r="AF6" s="3">
        <f>_xlfn.XLOOKUP(Table219[[#This Row],[SAPSA Number]],'Open Mini Rifle'!B:B,'Open Mini Rifle'!J:J)</f>
        <v>0</v>
      </c>
      <c r="AG6" s="3">
        <f>_xlfn.XLOOKUP(Table219[[#This Row],[SAPSA Number]],'SA OPEN Shotgun'!B:B,'SA OPEN Shotgun'!J:J)</f>
        <v>0</v>
      </c>
      <c r="AH6" s="3">
        <f>_xlfn.XLOOKUP(Table219[[#This Row],[SAPSA Number]],'SA STD Shotgun'!B:B,'SA STD Shotgun'!J:J)</f>
        <v>0</v>
      </c>
      <c r="AI6" s="3">
        <f>_xlfn.XLOOKUP(Table219[[#This Row],[SAPSA Number]],'MAN STD Shotgun'!B:B,'MAN STD Shotgun'!J:J)</f>
        <v>0</v>
      </c>
      <c r="AJ6" s="4">
        <f>_xlfn.XLOOKUP(Table219[[#This Row],[SAPSA Number]],'MODIFIED Shotgun'!B:B,'MODIFIED Shotgun'!J:J)</f>
        <v>0</v>
      </c>
    </row>
    <row r="7" spans="1:37" x14ac:dyDescent="0.3">
      <c r="A7" s="2">
        <v>288</v>
      </c>
      <c r="B7" s="2" t="s">
        <v>473</v>
      </c>
      <c r="C7" s="5" t="s">
        <v>464</v>
      </c>
      <c r="D7" s="5" t="s">
        <v>123</v>
      </c>
      <c r="E7" s="3" t="s">
        <v>465</v>
      </c>
      <c r="F7" s="73" t="str">
        <f ca="1">_xlfn.XLOOKUP(Table219[[#This Row],[SAPSA Number]],Table1[SAPSA number],Table1[Gender])</f>
        <v>S</v>
      </c>
      <c r="G7" s="3"/>
      <c r="H7" s="3"/>
      <c r="I7" s="3">
        <f>SUM(Table219[[#This Row],[Club Points]:[League Points Earned - Dec]])</f>
        <v>2</v>
      </c>
      <c r="J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7" s="3"/>
      <c r="L7" s="3"/>
      <c r="M7" s="3"/>
      <c r="N7" s="3"/>
      <c r="O7" s="3"/>
      <c r="P7" s="3"/>
      <c r="Q7" s="3">
        <v>2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4"/>
    </row>
    <row r="8" spans="1:37" x14ac:dyDescent="0.3">
      <c r="A8" s="2">
        <v>392</v>
      </c>
      <c r="B8" s="2" t="str">
        <f>_xlfn.XLOOKUP(Table219[[#This Row],[SAPSA Number]],Table1[SAPSA number],Table1[Paid up])</f>
        <v>Y</v>
      </c>
      <c r="C8" s="5" t="s">
        <v>178</v>
      </c>
      <c r="D8" s="5" t="s">
        <v>179</v>
      </c>
      <c r="E8" s="3" t="s">
        <v>180</v>
      </c>
      <c r="F8" s="73" t="str">
        <f>_xlfn.XLOOKUP(Table219[[#This Row],[SAPSA Number]],Table1[SAPSA number],Table1[Gender])</f>
        <v>Lady</v>
      </c>
      <c r="G8" s="3">
        <f ca="1">_xlfn.XLOOKUP(Table219[[#This Row],[SAPSA Number]],Table1[SAPSA number],Table1[Age])</f>
        <v>32</v>
      </c>
      <c r="H8" s="81" t="s">
        <v>277</v>
      </c>
      <c r="I8" s="3">
        <f>SUM(Table219[[#This Row],[Club Points]:[League Points Earned - Dec]])</f>
        <v>9</v>
      </c>
      <c r="J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8" s="3"/>
      <c r="L8" s="3">
        <v>3</v>
      </c>
      <c r="M8" s="3"/>
      <c r="N8" s="3"/>
      <c r="O8" s="3">
        <v>2</v>
      </c>
      <c r="P8" s="3"/>
      <c r="Q8" s="3"/>
      <c r="R8" s="3"/>
      <c r="S8" s="3"/>
      <c r="T8" s="3">
        <v>4</v>
      </c>
      <c r="U8" s="3"/>
      <c r="V8" s="3"/>
      <c r="W8" s="3">
        <f>_xlfn.XLOOKUP(Table219[[#This Row],[SAPSA Number]],'STD Handgun'!B:B,'STD Handgun'!J:J)</f>
        <v>0</v>
      </c>
      <c r="X8" s="3">
        <f>_xlfn.XLOOKUP(Table219[[#This Row],[SAPSA Number]],'PROD OPTICS Handgun'!B:B,'PROD OPTICS Handgun'!J:J)</f>
        <v>0</v>
      </c>
      <c r="Y8" s="3">
        <f>_xlfn.XLOOKUP(Table219[[#This Row],[SAPSA Number]],'PROD Handgun'!B:B,'PROD Handgun'!J:J)</f>
        <v>0</v>
      </c>
      <c r="Z8" s="3">
        <f>_xlfn.XLOOKUP(Table219[[#This Row],[SAPSA Number]],'OPEN Handgun'!B:B,'OPEN Handgun'!J:J)</f>
        <v>0</v>
      </c>
      <c r="AA8" s="3">
        <f>_xlfn.XLOOKUP(Table219[[#This Row],[SAPSA Number]],'CLASSIC Handgun'!B:B,'CLASSIC Handgun'!J:J)</f>
        <v>0</v>
      </c>
      <c r="AB8" s="3">
        <f>_xlfn.XLOOKUP(Table219[[#This Row],[SAPSA Number]],PCC!B:B,PCC!J:J)</f>
        <v>0</v>
      </c>
      <c r="AC8" s="3">
        <f>_xlfn.XLOOKUP(Table219[[#This Row],[SAPSA Number]],'SAOpen Rifle'!B:B,'SAOpen Rifle'!J:J)</f>
        <v>0</v>
      </c>
      <c r="AD8" s="3">
        <f>_xlfn.XLOOKUP(Table219[[#This Row],[SAPSA Number]],'SA Std Rifle'!B:B,'SA Std Rifle'!J:J)</f>
        <v>0</v>
      </c>
      <c r="AE8" s="3">
        <f>_xlfn.XLOOKUP(Table219[[#This Row],[SAPSA Number]],'STD Mini Rifle'!B:B,'STD Mini Rifle'!J:J)</f>
        <v>0</v>
      </c>
      <c r="AF8" s="3">
        <f>_xlfn.XLOOKUP(Table219[[#This Row],[SAPSA Number]],'Open Mini Rifle'!B:B,'Open Mini Rifle'!J:J)</f>
        <v>0</v>
      </c>
      <c r="AG8" s="3">
        <f>_xlfn.XLOOKUP(Table219[[#This Row],[SAPSA Number]],'SA OPEN Shotgun'!B:B,'SA OPEN Shotgun'!J:J)</f>
        <v>0</v>
      </c>
      <c r="AH8" s="3">
        <f>_xlfn.XLOOKUP(Table219[[#This Row],[SAPSA Number]],'SA STD Shotgun'!B:B,'SA STD Shotgun'!J:J)</f>
        <v>0</v>
      </c>
      <c r="AI8" s="3">
        <f>_xlfn.XLOOKUP(Table219[[#This Row],[SAPSA Number]],'MAN STD Shotgun'!B:B,'MAN STD Shotgun'!J:J)</f>
        <v>0</v>
      </c>
      <c r="AJ8" s="4">
        <f>_xlfn.XLOOKUP(Table219[[#This Row],[SAPSA Number]],'MODIFIED Shotgun'!B:B,'MODIFIED Shotgun'!J:J)</f>
        <v>0</v>
      </c>
    </row>
    <row r="9" spans="1:37" x14ac:dyDescent="0.3">
      <c r="A9" s="2">
        <v>393</v>
      </c>
      <c r="B9" s="2" t="str">
        <f>_xlfn.XLOOKUP(Table219[[#This Row],[SAPSA Number]],Table1[SAPSA number],Table1[Paid up])</f>
        <v>Y</v>
      </c>
      <c r="C9" s="5" t="s">
        <v>144</v>
      </c>
      <c r="D9" s="5" t="s">
        <v>79</v>
      </c>
      <c r="E9" s="3" t="s">
        <v>145</v>
      </c>
      <c r="F9" s="73" t="str">
        <f>_xlfn.XLOOKUP(Table219[[#This Row],[SAPSA Number]],Table1[SAPSA number],Table1[Gender])</f>
        <v>Lady</v>
      </c>
      <c r="G9" s="3">
        <f ca="1">_xlfn.XLOOKUP(Table219[[#This Row],[SAPSA Number]],Table1[SAPSA number],Table1[Age])</f>
        <v>60</v>
      </c>
      <c r="H9" s="81" t="s">
        <v>277</v>
      </c>
      <c r="I9" s="3">
        <f>SUM(Table219[[#This Row],[Club Points]:[League Points Earned - Dec]])</f>
        <v>9</v>
      </c>
      <c r="J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8</v>
      </c>
      <c r="K9" s="3"/>
      <c r="L9" s="3"/>
      <c r="M9" s="3"/>
      <c r="N9" s="3"/>
      <c r="O9" s="3"/>
      <c r="P9" s="3"/>
      <c r="Q9" s="3"/>
      <c r="R9" s="3"/>
      <c r="S9" s="3"/>
      <c r="T9" s="3"/>
      <c r="U9" s="3">
        <v>1</v>
      </c>
      <c r="V9" s="3"/>
      <c r="W9" s="3">
        <f>_xlfn.XLOOKUP(Table219[[#This Row],[SAPSA Number]],'STD Handgun'!B:B,'STD Handgun'!J:J)</f>
        <v>0</v>
      </c>
      <c r="X9" s="3">
        <f>_xlfn.XLOOKUP(Table219[[#This Row],[SAPSA Number]],'PROD OPTICS Handgun'!B:B,'PROD OPTICS Handgun'!J:J)</f>
        <v>0</v>
      </c>
      <c r="Y9" s="3">
        <f>_xlfn.XLOOKUP(Table219[[#This Row],[SAPSA Number]],'PROD Handgun'!B:B,'PROD Handgun'!J:J)</f>
        <v>4</v>
      </c>
      <c r="Z9" s="3">
        <f>_xlfn.XLOOKUP(Table219[[#This Row],[SAPSA Number]],'OPEN Handgun'!B:B,'OPEN Handgun'!J:J)</f>
        <v>0</v>
      </c>
      <c r="AA9" s="3">
        <f>_xlfn.XLOOKUP(Table219[[#This Row],[SAPSA Number]],'CLASSIC Handgun'!B:B,'CLASSIC Handgun'!J:J)</f>
        <v>0</v>
      </c>
      <c r="AB9" s="3">
        <f>_xlfn.XLOOKUP(Table219[[#This Row],[SAPSA Number]],PCC!B:B,PCC!J:J)</f>
        <v>0</v>
      </c>
      <c r="AC9" s="3">
        <f>_xlfn.XLOOKUP(Table219[[#This Row],[SAPSA Number]],'SAOpen Rifle'!B:B,'SAOpen Rifle'!J:J)</f>
        <v>0</v>
      </c>
      <c r="AD9" s="3">
        <f>_xlfn.XLOOKUP(Table219[[#This Row],[SAPSA Number]],'SA Std Rifle'!B:B,'SA Std Rifle'!J:J)</f>
        <v>0</v>
      </c>
      <c r="AE9" s="3">
        <f>_xlfn.XLOOKUP(Table219[[#This Row],[SAPSA Number]],'STD Mini Rifle'!B:B,'STD Mini Rifle'!J:J)</f>
        <v>0</v>
      </c>
      <c r="AF9" s="3">
        <f>_xlfn.XLOOKUP(Table219[[#This Row],[SAPSA Number]],'Open Mini Rifle'!B:B,'Open Mini Rifle'!J:J)</f>
        <v>0</v>
      </c>
      <c r="AG9" s="3">
        <f>_xlfn.XLOOKUP(Table219[[#This Row],[SAPSA Number]],'SA OPEN Shotgun'!B:B,'SA OPEN Shotgun'!J:J)</f>
        <v>0</v>
      </c>
      <c r="AH9" s="3">
        <f>_xlfn.XLOOKUP(Table219[[#This Row],[SAPSA Number]],'SA STD Shotgun'!B:B,'SA STD Shotgun'!J:J)</f>
        <v>4</v>
      </c>
      <c r="AI9" s="3">
        <f>_xlfn.XLOOKUP(Table219[[#This Row],[SAPSA Number]],'MAN STD Shotgun'!B:B,'MAN STD Shotgun'!J:J)</f>
        <v>0</v>
      </c>
      <c r="AJ9" s="4">
        <f>_xlfn.XLOOKUP(Table219[[#This Row],[SAPSA Number]],'MODIFIED Shotgun'!B:B,'MODIFIED Shotgun'!J:J)</f>
        <v>0</v>
      </c>
    </row>
    <row r="10" spans="1:37" x14ac:dyDescent="0.3">
      <c r="A10" s="150">
        <v>401</v>
      </c>
      <c r="B10" s="2"/>
      <c r="C10" s="5" t="s">
        <v>480</v>
      </c>
      <c r="D10" s="5" t="s">
        <v>481</v>
      </c>
      <c r="E10" s="3" t="s">
        <v>154</v>
      </c>
      <c r="F10" s="73" t="str">
        <f>_xlfn.XLOOKUP(Table219[[#This Row],[SAPSA Number]],Table1[SAPSA number],Table1[Gender])</f>
        <v>Lady</v>
      </c>
      <c r="G10" s="3">
        <f ca="1">_xlfn.XLOOKUP(Table219[[#This Row],[SAPSA Number]],Table1[SAPSA number],Table1[Age])</f>
        <v>70</v>
      </c>
      <c r="H10" s="3">
        <v>6</v>
      </c>
      <c r="I10" s="3">
        <f>SUM(Table219[[#This Row],[Club Points]:[League Points Earned - Dec]])</f>
        <v>4</v>
      </c>
      <c r="J1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10" s="3"/>
      <c r="L10" s="3"/>
      <c r="M10" s="3"/>
      <c r="N10" s="3"/>
      <c r="O10" s="3"/>
      <c r="P10" s="3"/>
      <c r="Q10" s="3"/>
      <c r="R10" s="3">
        <v>2</v>
      </c>
      <c r="S10" s="3">
        <v>2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4"/>
    </row>
    <row r="11" spans="1:37" x14ac:dyDescent="0.3">
      <c r="A11" s="2">
        <v>572</v>
      </c>
      <c r="B11" s="2" t="str">
        <f>_xlfn.XLOOKUP(Table219[[#This Row],[SAPSA Number]],Table1[SAPSA number],Table1[Paid up])</f>
        <v>Y</v>
      </c>
      <c r="C11" s="5" t="s">
        <v>54</v>
      </c>
      <c r="D11" s="5" t="s">
        <v>55</v>
      </c>
      <c r="E11" s="3" t="s">
        <v>54</v>
      </c>
      <c r="F11" s="73" t="str">
        <f ca="1">_xlfn.XLOOKUP(Table219[[#This Row],[SAPSA Number]],Table1[SAPSA number],Table1[Gender])</f>
        <v>SS</v>
      </c>
      <c r="G11" s="3">
        <f ca="1">_xlfn.XLOOKUP(Table219[[#This Row],[SAPSA Number]],Table1[SAPSA number],Table1[Age])</f>
        <v>60</v>
      </c>
      <c r="H11" s="3">
        <v>5</v>
      </c>
      <c r="I11" s="3">
        <f>SUM(Table219[[#This Row],[Club Points]:[League Points Earned - Dec]])</f>
        <v>14</v>
      </c>
      <c r="J1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11</v>
      </c>
      <c r="K11" s="3"/>
      <c r="L11" s="3"/>
      <c r="M11" s="3"/>
      <c r="N11" s="3"/>
      <c r="O11" s="3">
        <v>2</v>
      </c>
      <c r="P11" s="3"/>
      <c r="Q11" s="3"/>
      <c r="R11" s="3"/>
      <c r="S11" s="3"/>
      <c r="T11" s="3"/>
      <c r="U11" s="3">
        <v>1</v>
      </c>
      <c r="V11" s="3"/>
      <c r="W11" s="3">
        <f>_xlfn.XLOOKUP(Table219[[#This Row],[SAPSA Number]],'STD Handgun'!B:B,'STD Handgun'!J:J)</f>
        <v>1</v>
      </c>
      <c r="X11" s="3">
        <f>_xlfn.XLOOKUP(Table219[[#This Row],[SAPSA Number]],'PROD OPTICS Handgun'!B:B,'PROD OPTICS Handgun'!J:J)</f>
        <v>0</v>
      </c>
      <c r="Y11" s="3">
        <f>_xlfn.XLOOKUP(Table219[[#This Row],[SAPSA Number]],'PROD Handgun'!B:B,'PROD Handgun'!J:J)</f>
        <v>5</v>
      </c>
      <c r="Z11" s="3">
        <f>_xlfn.XLOOKUP(Table219[[#This Row],[SAPSA Number]],'OPEN Handgun'!B:B,'OPEN Handgun'!J:J)</f>
        <v>0</v>
      </c>
      <c r="AA11" s="3">
        <f>_xlfn.XLOOKUP(Table219[[#This Row],[SAPSA Number]],'CLASSIC Handgun'!B:B,'CLASSIC Handgun'!J:J)</f>
        <v>0</v>
      </c>
      <c r="AB11" s="3">
        <f>_xlfn.XLOOKUP(Table219[[#This Row],[SAPSA Number]],PCC!B:B,PCC!J:J)</f>
        <v>0</v>
      </c>
      <c r="AC11" s="3">
        <f>_xlfn.XLOOKUP(Table219[[#This Row],[SAPSA Number]],'SAOpen Rifle'!B:B,'SAOpen Rifle'!J:J)</f>
        <v>0</v>
      </c>
      <c r="AD11" s="3">
        <f>_xlfn.XLOOKUP(Table219[[#This Row],[SAPSA Number]],'SA Std Rifle'!B:B,'SA Std Rifle'!J:J)</f>
        <v>0</v>
      </c>
      <c r="AE11" s="3">
        <f>_xlfn.XLOOKUP(Table219[[#This Row],[SAPSA Number]],'STD Mini Rifle'!B:B,'STD Mini Rifle'!J:J)</f>
        <v>0</v>
      </c>
      <c r="AF11" s="3">
        <f>_xlfn.XLOOKUP(Table219[[#This Row],[SAPSA Number]],'Open Mini Rifle'!B:B,'Open Mini Rifle'!J:J)</f>
        <v>4</v>
      </c>
      <c r="AG11" s="3">
        <f>_xlfn.XLOOKUP(Table219[[#This Row],[SAPSA Number]],'SA OPEN Shotgun'!B:B,'SA OPEN Shotgun'!J:J)</f>
        <v>0</v>
      </c>
      <c r="AH11" s="3">
        <f>_xlfn.XLOOKUP(Table219[[#This Row],[SAPSA Number]],'SA STD Shotgun'!B:B,'SA STD Shotgun'!J:J)</f>
        <v>0</v>
      </c>
      <c r="AI11" s="3">
        <f>_xlfn.XLOOKUP(Table219[[#This Row],[SAPSA Number]],'MAN STD Shotgun'!B:B,'MAN STD Shotgun'!J:J)</f>
        <v>1</v>
      </c>
      <c r="AJ11" s="4">
        <f>_xlfn.XLOOKUP(Table219[[#This Row],[SAPSA Number]],'MODIFIED Shotgun'!B:B,'MODIFIED Shotgun'!J:J)</f>
        <v>0</v>
      </c>
    </row>
    <row r="12" spans="1:37" x14ac:dyDescent="0.3">
      <c r="A12" s="2">
        <v>591</v>
      </c>
      <c r="B12" s="2" t="str">
        <f>_xlfn.XLOOKUP(Table219[[#This Row],[SAPSA Number]],Table1[SAPSA number],Table1[Paid up])</f>
        <v>Y</v>
      </c>
      <c r="C12" s="5" t="s">
        <v>61</v>
      </c>
      <c r="D12" s="5" t="s">
        <v>62</v>
      </c>
      <c r="E12" s="3" t="s">
        <v>63</v>
      </c>
      <c r="F12" s="73" t="str">
        <f ca="1">_xlfn.XLOOKUP(Table219[[#This Row],[SAPSA Number]],Table1[SAPSA number],Table1[Gender])</f>
        <v>GS</v>
      </c>
      <c r="G12" s="3">
        <f ca="1">_xlfn.XLOOKUP(Table219[[#This Row],[SAPSA Number]],Table1[SAPSA number],Table1[Age])</f>
        <v>75</v>
      </c>
      <c r="H12" s="3">
        <v>4</v>
      </c>
      <c r="I12" s="3">
        <f>SUM(Table219[[#This Row],[Club Points]:[League Points Earned - Dec]])</f>
        <v>19</v>
      </c>
      <c r="J1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12</v>
      </c>
      <c r="K12" s="3"/>
      <c r="L12" s="3"/>
      <c r="M12" s="3"/>
      <c r="N12" s="3"/>
      <c r="O12" s="3"/>
      <c r="P12" s="3">
        <v>2</v>
      </c>
      <c r="Q12" s="3">
        <v>2</v>
      </c>
      <c r="R12" s="3">
        <v>2</v>
      </c>
      <c r="S12" s="3"/>
      <c r="T12" s="3"/>
      <c r="U12" s="3">
        <v>1</v>
      </c>
      <c r="V12" s="3"/>
      <c r="W12" s="3">
        <f>_xlfn.XLOOKUP(Table219[[#This Row],[SAPSA Number]],'STD Handgun'!B:B,'STD Handgun'!J:J)</f>
        <v>0</v>
      </c>
      <c r="X12" s="3">
        <f>_xlfn.XLOOKUP(Table219[[#This Row],[SAPSA Number]],'PROD OPTICS Handgun'!B:B,'PROD OPTICS Handgun'!J:J)</f>
        <v>0</v>
      </c>
      <c r="Y12" s="3">
        <f>_xlfn.XLOOKUP(Table219[[#This Row],[SAPSA Number]],'PROD Handgun'!B:B,'PROD Handgun'!J:J)</f>
        <v>0</v>
      </c>
      <c r="Z12" s="3">
        <f>_xlfn.XLOOKUP(Table219[[#This Row],[SAPSA Number]],'OPEN Handgun'!B:B,'OPEN Handgun'!J:J)</f>
        <v>0</v>
      </c>
      <c r="AA12" s="3">
        <f>_xlfn.XLOOKUP(Table219[[#This Row],[SAPSA Number]],'CLASSIC Handgun'!B:B,'CLASSIC Handgun'!J:J)</f>
        <v>0</v>
      </c>
      <c r="AB12" s="3">
        <f>_xlfn.XLOOKUP(Table219[[#This Row],[SAPSA Number]],PCC!B:B,PCC!J:J)</f>
        <v>12</v>
      </c>
      <c r="AC12" s="3">
        <f>_xlfn.XLOOKUP(Table219[[#This Row],[SAPSA Number]],'SAOpen Rifle'!B:B,'SAOpen Rifle'!J:J)</f>
        <v>0</v>
      </c>
      <c r="AD12" s="3">
        <f>_xlfn.XLOOKUP(Table219[[#This Row],[SAPSA Number]],'SA Std Rifle'!B:B,'SA Std Rifle'!J:J)</f>
        <v>0</v>
      </c>
      <c r="AE12" s="3">
        <f>_xlfn.XLOOKUP(Table219[[#This Row],[SAPSA Number]],'STD Mini Rifle'!B:B,'STD Mini Rifle'!J:J)</f>
        <v>0</v>
      </c>
      <c r="AF12" s="3">
        <f>_xlfn.XLOOKUP(Table219[[#This Row],[SAPSA Number]],'Open Mini Rifle'!B:B,'Open Mini Rifle'!J:J)</f>
        <v>0</v>
      </c>
      <c r="AG12" s="3">
        <f>_xlfn.XLOOKUP(Table219[[#This Row],[SAPSA Number]],'SA OPEN Shotgun'!B:B,'SA OPEN Shotgun'!J:J)</f>
        <v>0</v>
      </c>
      <c r="AH12" s="3">
        <f>_xlfn.XLOOKUP(Table219[[#This Row],[SAPSA Number]],'SA STD Shotgun'!B:B,'SA STD Shotgun'!J:J)</f>
        <v>0</v>
      </c>
      <c r="AI12" s="3">
        <f>_xlfn.XLOOKUP(Table219[[#This Row],[SAPSA Number]],'MAN STD Shotgun'!B:B,'MAN STD Shotgun'!J:J)</f>
        <v>0</v>
      </c>
      <c r="AJ12" s="4">
        <f>_xlfn.XLOOKUP(Table219[[#This Row],[SAPSA Number]],'MODIFIED Shotgun'!B:B,'MODIFIED Shotgun'!J:J)</f>
        <v>0</v>
      </c>
    </row>
    <row r="13" spans="1:37" x14ac:dyDescent="0.3">
      <c r="A13" s="2">
        <v>601</v>
      </c>
      <c r="B13" s="2" t="str">
        <f>_xlfn.XLOOKUP(Table219[[#This Row],[SAPSA Number]],Table1[SAPSA number],Table1[Paid up])</f>
        <v>Y</v>
      </c>
      <c r="C13" s="67" t="s">
        <v>279</v>
      </c>
      <c r="D13" s="67" t="s">
        <v>62</v>
      </c>
      <c r="E13" s="75" t="s">
        <v>250</v>
      </c>
      <c r="F13" s="71" t="str">
        <f ca="1">_xlfn.XLOOKUP(Table219[[#This Row],[SAPSA Number]],Table1[SAPSA number],Table1[Gender])</f>
        <v xml:space="preserve"> </v>
      </c>
      <c r="G13" s="3">
        <f ca="1">_xlfn.XLOOKUP(Table219[[#This Row],[SAPSA Number]],Table1[SAPSA number],Table1[Age])</f>
        <v>47</v>
      </c>
      <c r="H13" s="3">
        <v>0</v>
      </c>
      <c r="I13" s="3">
        <f>SUM(Table219[[#This Row],[Club Points]:[League Points Earned - Dec]])</f>
        <v>15</v>
      </c>
      <c r="J1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6</v>
      </c>
      <c r="K13" s="3"/>
      <c r="L13" s="3"/>
      <c r="M13" s="3"/>
      <c r="N13" s="3">
        <v>2</v>
      </c>
      <c r="O13" s="3">
        <v>2</v>
      </c>
      <c r="P13" s="3">
        <v>2</v>
      </c>
      <c r="Q13" s="3">
        <v>2</v>
      </c>
      <c r="R13" s="3"/>
      <c r="S13" s="3"/>
      <c r="T13" s="3"/>
      <c r="U13" s="3">
        <v>1</v>
      </c>
      <c r="V13" s="3"/>
      <c r="W13" s="3">
        <f>_xlfn.XLOOKUP(Table219[[#This Row],[SAPSA Number]],'STD Handgun'!B:B,'STD Handgun'!J:J)</f>
        <v>0</v>
      </c>
      <c r="X13" s="3">
        <f>_xlfn.XLOOKUP(Table219[[#This Row],[SAPSA Number]],'PROD OPTICS Handgun'!B:B,'PROD OPTICS Handgun'!J:J)</f>
        <v>0</v>
      </c>
      <c r="Y13" s="3">
        <f>_xlfn.XLOOKUP(Table219[[#This Row],[SAPSA Number]],'PROD Handgun'!B:B,'PROD Handgun'!J:J)</f>
        <v>0</v>
      </c>
      <c r="Z13" s="3">
        <f>_xlfn.XLOOKUP(Table219[[#This Row],[SAPSA Number]],'OPEN Handgun'!B:B,'OPEN Handgun'!J:J)</f>
        <v>0</v>
      </c>
      <c r="AA13" s="3">
        <f>_xlfn.XLOOKUP(Table219[[#This Row],[SAPSA Number]],'CLASSIC Handgun'!B:B,'CLASSIC Handgun'!J:J)</f>
        <v>0</v>
      </c>
      <c r="AB13" s="3">
        <f>_xlfn.XLOOKUP(Table219[[#This Row],[SAPSA Number]],PCC!B:B,PCC!J:J)</f>
        <v>6</v>
      </c>
      <c r="AC13" s="3">
        <f>_xlfn.XLOOKUP(Table219[[#This Row],[SAPSA Number]],'SAOpen Rifle'!B:B,'SAOpen Rifle'!J:J)</f>
        <v>0</v>
      </c>
      <c r="AD13" s="3">
        <f>_xlfn.XLOOKUP(Table219[[#This Row],[SAPSA Number]],'SA Std Rifle'!B:B,'SA Std Rifle'!J:J)</f>
        <v>0</v>
      </c>
      <c r="AE13" s="3">
        <f>_xlfn.XLOOKUP(Table219[[#This Row],[SAPSA Number]],'STD Mini Rifle'!B:B,'STD Mini Rifle'!J:J)</f>
        <v>0</v>
      </c>
      <c r="AF13" s="3">
        <f>_xlfn.XLOOKUP(Table219[[#This Row],[SAPSA Number]],'Open Mini Rifle'!B:B,'Open Mini Rifle'!J:J)</f>
        <v>0</v>
      </c>
      <c r="AG13" s="3">
        <f>_xlfn.XLOOKUP(Table219[[#This Row],[SAPSA Number]],'SA OPEN Shotgun'!B:B,'SA OPEN Shotgun'!J:J)</f>
        <v>0</v>
      </c>
      <c r="AH13" s="3">
        <f>_xlfn.XLOOKUP(Table219[[#This Row],[SAPSA Number]],'SA STD Shotgun'!B:B,'SA STD Shotgun'!J:J)</f>
        <v>0</v>
      </c>
      <c r="AI13" s="3">
        <f>_xlfn.XLOOKUP(Table219[[#This Row],[SAPSA Number]],'MAN STD Shotgun'!B:B,'MAN STD Shotgun'!J:J)</f>
        <v>0</v>
      </c>
      <c r="AJ13" s="4">
        <f>_xlfn.XLOOKUP(Table219[[#This Row],[SAPSA Number]],'MODIFIED Shotgun'!B:B,'MODIFIED Shotgun'!J:J)</f>
        <v>0</v>
      </c>
    </row>
    <row r="14" spans="1:37" x14ac:dyDescent="0.3">
      <c r="A14" s="2">
        <v>683</v>
      </c>
      <c r="B14" s="2" t="s">
        <v>473</v>
      </c>
      <c r="C14" s="5" t="s">
        <v>100</v>
      </c>
      <c r="D14" s="5" t="s">
        <v>101</v>
      </c>
      <c r="E14" s="3" t="s">
        <v>102</v>
      </c>
      <c r="F14" s="73" t="str">
        <f ca="1">_xlfn.XLOOKUP(Table219[[#This Row],[SAPSA Number]],Table1[SAPSA number],Table1[Gender])</f>
        <v>S</v>
      </c>
      <c r="G14" s="3">
        <f ca="1">_xlfn.XLOOKUP(Table219[[#This Row],[SAPSA Number]],Table1[SAPSA number],Table1[Age])</f>
        <v>58</v>
      </c>
      <c r="H14" s="3">
        <v>0</v>
      </c>
      <c r="I14" s="3">
        <f>SUM(Table219[[#This Row],[Club Points]:[League Points Earned - Dec]])</f>
        <v>0</v>
      </c>
      <c r="J1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>
        <f>_xlfn.XLOOKUP(Table219[[#This Row],[SAPSA Number]],'STD Handgun'!B:B,'STD Handgun'!J:J)</f>
        <v>0</v>
      </c>
      <c r="X14" s="3">
        <f>_xlfn.XLOOKUP(Table219[[#This Row],[SAPSA Number]],'PROD OPTICS Handgun'!B:B,'PROD OPTICS Handgun'!J:J)</f>
        <v>0</v>
      </c>
      <c r="Y14" s="3">
        <f>_xlfn.XLOOKUP(Table219[[#This Row],[SAPSA Number]],'PROD Handgun'!B:B,'PROD Handgun'!J:J)</f>
        <v>0</v>
      </c>
      <c r="Z14" s="3">
        <f>_xlfn.XLOOKUP(Table219[[#This Row],[SAPSA Number]],'OPEN Handgun'!B:B,'OPEN Handgun'!J:J)</f>
        <v>0</v>
      </c>
      <c r="AA14" s="3">
        <f>_xlfn.XLOOKUP(Table219[[#This Row],[SAPSA Number]],'CLASSIC Handgun'!B:B,'CLASSIC Handgun'!J:J)</f>
        <v>0</v>
      </c>
      <c r="AB14" s="3">
        <f>_xlfn.XLOOKUP(Table219[[#This Row],[SAPSA Number]],PCC!B:B,PCC!J:J)</f>
        <v>0</v>
      </c>
      <c r="AC14" s="3">
        <f>_xlfn.XLOOKUP(Table219[[#This Row],[SAPSA Number]],'SAOpen Rifle'!B:B,'SAOpen Rifle'!J:J)</f>
        <v>0</v>
      </c>
      <c r="AD14" s="3">
        <f>_xlfn.XLOOKUP(Table219[[#This Row],[SAPSA Number]],'SA Std Rifle'!B:B,'SA Std Rifle'!J:J)</f>
        <v>0</v>
      </c>
      <c r="AE14" s="3">
        <f>_xlfn.XLOOKUP(Table219[[#This Row],[SAPSA Number]],'STD Mini Rifle'!B:B,'STD Mini Rifle'!J:J)</f>
        <v>0</v>
      </c>
      <c r="AF14" s="3">
        <f>_xlfn.XLOOKUP(Table219[[#This Row],[SAPSA Number]],'Open Mini Rifle'!B:B,'Open Mini Rifle'!J:J)</f>
        <v>0</v>
      </c>
      <c r="AG14" s="3">
        <f>_xlfn.XLOOKUP(Table219[[#This Row],[SAPSA Number]],'SA OPEN Shotgun'!B:B,'SA OPEN Shotgun'!J:J)</f>
        <v>0</v>
      </c>
      <c r="AH14" s="3">
        <f>_xlfn.XLOOKUP(Table219[[#This Row],[SAPSA Number]],'SA STD Shotgun'!B:B,'SA STD Shotgun'!J:J)</f>
        <v>0</v>
      </c>
      <c r="AI14" s="3">
        <f>_xlfn.XLOOKUP(Table219[[#This Row],[SAPSA Number]],'MAN STD Shotgun'!B:B,'MAN STD Shotgun'!J:J)</f>
        <v>0</v>
      </c>
      <c r="AJ14" s="4">
        <f>_xlfn.XLOOKUP(Table219[[#This Row],[SAPSA Number]],'MODIFIED Shotgun'!B:B,'MODIFIED Shotgun'!J:J)</f>
        <v>0</v>
      </c>
    </row>
    <row r="15" spans="1:37" x14ac:dyDescent="0.3">
      <c r="A15" s="2">
        <v>851</v>
      </c>
      <c r="B15" s="2" t="str">
        <f>_xlfn.XLOOKUP(Table219[[#This Row],[SAPSA Number]],Table1[SAPSA number],Table1[Paid up])</f>
        <v>Y</v>
      </c>
      <c r="C15" s="5" t="s">
        <v>96</v>
      </c>
      <c r="D15" s="5" t="s">
        <v>97</v>
      </c>
      <c r="E15" s="3" t="s">
        <v>98</v>
      </c>
      <c r="F15" s="73" t="str">
        <f ca="1">_xlfn.XLOOKUP(Table219[[#This Row],[SAPSA Number]],Table1[SAPSA number],Table1[Gender])</f>
        <v>SS</v>
      </c>
      <c r="G15" s="3">
        <f ca="1">_xlfn.XLOOKUP(Table219[[#This Row],[SAPSA Number]],Table1[SAPSA number],Table1[Age])</f>
        <v>68</v>
      </c>
      <c r="H15" s="78" t="s">
        <v>277</v>
      </c>
      <c r="I15" s="3">
        <f>SUM(Table219[[#This Row],[Club Points]:[League Points Earned - Dec]])</f>
        <v>20</v>
      </c>
      <c r="J1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17</v>
      </c>
      <c r="K15" s="3"/>
      <c r="L15" s="3">
        <v>2</v>
      </c>
      <c r="M15" s="3"/>
      <c r="N15" s="3"/>
      <c r="O15" s="3"/>
      <c r="P15" s="3"/>
      <c r="Q15" s="3"/>
      <c r="R15" s="3"/>
      <c r="S15" s="3"/>
      <c r="T15" s="3"/>
      <c r="U15" s="3">
        <v>1</v>
      </c>
      <c r="V15" s="3"/>
      <c r="W15" s="3">
        <f>_xlfn.XLOOKUP(Table219[[#This Row],[SAPSA Number]],'STD Handgun'!B:B,'STD Handgun'!J:J)</f>
        <v>6</v>
      </c>
      <c r="X15" s="3">
        <f>_xlfn.XLOOKUP(Table219[[#This Row],[SAPSA Number]],'PROD OPTICS Handgun'!B:B,'PROD OPTICS Handgun'!J:J)</f>
        <v>0</v>
      </c>
      <c r="Y15" s="3">
        <f>_xlfn.XLOOKUP(Table219[[#This Row],[SAPSA Number]],'PROD Handgun'!B:B,'PROD Handgun'!J:J)</f>
        <v>0</v>
      </c>
      <c r="Z15" s="3">
        <f>_xlfn.XLOOKUP(Table219[[#This Row],[SAPSA Number]],'OPEN Handgun'!B:B,'OPEN Handgun'!J:J)</f>
        <v>0</v>
      </c>
      <c r="AA15" s="3">
        <f>_xlfn.XLOOKUP(Table219[[#This Row],[SAPSA Number]],'CLASSIC Handgun'!B:B,'CLASSIC Handgun'!J:J)</f>
        <v>0</v>
      </c>
      <c r="AB15" s="3">
        <f>_xlfn.XLOOKUP(Table219[[#This Row],[SAPSA Number]],PCC!B:B,PCC!J:J)</f>
        <v>0</v>
      </c>
      <c r="AC15" s="3">
        <f>_xlfn.XLOOKUP(Table219[[#This Row],[SAPSA Number]],'SAOpen Rifle'!B:B,'SAOpen Rifle'!J:J)</f>
        <v>6</v>
      </c>
      <c r="AD15" s="3">
        <f>_xlfn.XLOOKUP(Table219[[#This Row],[SAPSA Number]],'SA Std Rifle'!B:B,'SA Std Rifle'!J:J)</f>
        <v>0</v>
      </c>
      <c r="AE15" s="3">
        <f>_xlfn.XLOOKUP(Table219[[#This Row],[SAPSA Number]],'STD Mini Rifle'!B:B,'STD Mini Rifle'!J:J)</f>
        <v>0</v>
      </c>
      <c r="AF15" s="3">
        <f>_xlfn.XLOOKUP(Table219[[#This Row],[SAPSA Number]],'Open Mini Rifle'!B:B,'Open Mini Rifle'!J:J)</f>
        <v>5</v>
      </c>
      <c r="AG15" s="3">
        <f>_xlfn.XLOOKUP(Table219[[#This Row],[SAPSA Number]],'SA OPEN Shotgun'!B:B,'SA OPEN Shotgun'!J:J)</f>
        <v>0</v>
      </c>
      <c r="AH15" s="3">
        <f>_xlfn.XLOOKUP(Table219[[#This Row],[SAPSA Number]],'SA STD Shotgun'!B:B,'SA STD Shotgun'!J:J)</f>
        <v>0</v>
      </c>
      <c r="AI15" s="3">
        <f>_xlfn.XLOOKUP(Table219[[#This Row],[SAPSA Number]],'MAN STD Shotgun'!B:B,'MAN STD Shotgun'!J:J)</f>
        <v>0</v>
      </c>
      <c r="AJ15" s="4">
        <f>_xlfn.XLOOKUP(Table219[[#This Row],[SAPSA Number]],'MODIFIED Shotgun'!B:B,'MODIFIED Shotgun'!J:J)</f>
        <v>0</v>
      </c>
    </row>
    <row r="16" spans="1:37" x14ac:dyDescent="0.3">
      <c r="A16" s="2">
        <v>896</v>
      </c>
      <c r="B16" s="2" t="str">
        <f>_xlfn.XLOOKUP(Table219[[#This Row],[SAPSA Number]],Table1[SAPSA number],Table1[Paid up])</f>
        <v>Y</v>
      </c>
      <c r="C16" s="5" t="s">
        <v>109</v>
      </c>
      <c r="D16" s="5" t="s">
        <v>110</v>
      </c>
      <c r="E16" s="3" t="s">
        <v>111</v>
      </c>
      <c r="F16" s="73" t="str">
        <f ca="1">_xlfn.XLOOKUP(Table219[[#This Row],[SAPSA Number]],Table1[SAPSA number],Table1[Gender])</f>
        <v xml:space="preserve"> </v>
      </c>
      <c r="G16" s="3">
        <f ca="1">_xlfn.XLOOKUP(Table219[[#This Row],[SAPSA Number]],Table1[SAPSA number],Table1[Age])</f>
        <v>46</v>
      </c>
      <c r="H16" s="3">
        <v>1</v>
      </c>
      <c r="I16" s="3">
        <f>SUM(Table219[[#This Row],[Club Points]:[League Points Earned - Dec]])</f>
        <v>18</v>
      </c>
      <c r="J1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</v>
      </c>
      <c r="K16" s="3"/>
      <c r="L16" s="3">
        <v>5</v>
      </c>
      <c r="M16" s="3">
        <v>2</v>
      </c>
      <c r="N16" s="3">
        <v>2</v>
      </c>
      <c r="O16" s="3">
        <v>2</v>
      </c>
      <c r="P16" s="3">
        <v>2</v>
      </c>
      <c r="Q16" s="3">
        <v>2</v>
      </c>
      <c r="R16" s="3"/>
      <c r="S16" s="3">
        <v>2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4"/>
    </row>
    <row r="17" spans="1:36" x14ac:dyDescent="0.3">
      <c r="A17" s="2">
        <v>1113</v>
      </c>
      <c r="B17" s="2" t="str">
        <f>_xlfn.XLOOKUP(Table219[[#This Row],[SAPSA Number]],Table1[SAPSA number],Table1[Paid up])</f>
        <v>Y</v>
      </c>
      <c r="C17" s="5" t="s">
        <v>75</v>
      </c>
      <c r="D17" s="5" t="s">
        <v>74</v>
      </c>
      <c r="E17" s="3" t="s">
        <v>73</v>
      </c>
      <c r="F17" s="73" t="str">
        <f ca="1">_xlfn.XLOOKUP(Table219[[#This Row],[SAPSA Number]],Table1[SAPSA number],Table1[Gender])</f>
        <v>SS</v>
      </c>
      <c r="G17" s="3">
        <f ca="1">_xlfn.XLOOKUP(Table219[[#This Row],[SAPSA Number]],Table1[SAPSA number],Table1[Age])</f>
        <v>61</v>
      </c>
      <c r="H17" s="3">
        <v>0</v>
      </c>
      <c r="I17" s="3">
        <f>SUM(Table219[[#This Row],[Club Points]:[League Points Earned - Dec]])</f>
        <v>11</v>
      </c>
      <c r="J1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4</v>
      </c>
      <c r="K17" s="3"/>
      <c r="L17" s="3">
        <v>2</v>
      </c>
      <c r="M17" s="3"/>
      <c r="N17" s="3">
        <v>2</v>
      </c>
      <c r="O17" s="3">
        <v>2</v>
      </c>
      <c r="P17" s="3"/>
      <c r="Q17" s="3"/>
      <c r="R17" s="3"/>
      <c r="S17" s="3"/>
      <c r="T17" s="3"/>
      <c r="U17" s="3">
        <v>1</v>
      </c>
      <c r="V17" s="3"/>
      <c r="W17" s="3">
        <f>_xlfn.XLOOKUP(Table219[[#This Row],[SAPSA Number]],'STD Handgun'!B:B,'STD Handgun'!J:J)</f>
        <v>0</v>
      </c>
      <c r="X17" s="3">
        <f>_xlfn.XLOOKUP(Table219[[#This Row],[SAPSA Number]],'PROD OPTICS Handgun'!B:B,'PROD OPTICS Handgun'!J:J)</f>
        <v>0</v>
      </c>
      <c r="Y17" s="3">
        <f>_xlfn.XLOOKUP(Table219[[#This Row],[SAPSA Number]],'PROD Handgun'!B:B,'PROD Handgun'!J:J)</f>
        <v>0</v>
      </c>
      <c r="Z17" s="3">
        <f>_xlfn.XLOOKUP(Table219[[#This Row],[SAPSA Number]],'OPEN Handgun'!B:B,'OPEN Handgun'!J:J)</f>
        <v>3</v>
      </c>
      <c r="AA17" s="3">
        <f>_xlfn.XLOOKUP(Table219[[#This Row],[SAPSA Number]],'CLASSIC Handgun'!B:B,'CLASSIC Handgun'!J:J)</f>
        <v>0</v>
      </c>
      <c r="AB17" s="3">
        <f>_xlfn.XLOOKUP(Table219[[#This Row],[SAPSA Number]],PCC!B:B,PCC!J:J)</f>
        <v>0</v>
      </c>
      <c r="AC17" s="3">
        <f>_xlfn.XLOOKUP(Table219[[#This Row],[SAPSA Number]],'SAOpen Rifle'!B:B,'SAOpen Rifle'!J:J)</f>
        <v>1</v>
      </c>
      <c r="AD17" s="3">
        <f>_xlfn.XLOOKUP(Table219[[#This Row],[SAPSA Number]],'SA Std Rifle'!B:B,'SA Std Rifle'!J:J)</f>
        <v>0</v>
      </c>
      <c r="AE17" s="3">
        <f>_xlfn.XLOOKUP(Table219[[#This Row],[SAPSA Number]],'STD Mini Rifle'!B:B,'STD Mini Rifle'!J:J)</f>
        <v>0</v>
      </c>
      <c r="AF17" s="3">
        <f>_xlfn.XLOOKUP(Table219[[#This Row],[SAPSA Number]],'Open Mini Rifle'!B:B,'Open Mini Rifle'!J:J)</f>
        <v>0</v>
      </c>
      <c r="AG17" s="3">
        <f>_xlfn.XLOOKUP(Table219[[#This Row],[SAPSA Number]],'SA OPEN Shotgun'!B:B,'SA OPEN Shotgun'!J:J)</f>
        <v>0</v>
      </c>
      <c r="AH17" s="3">
        <f>_xlfn.XLOOKUP(Table219[[#This Row],[SAPSA Number]],'SA STD Shotgun'!B:B,'SA STD Shotgun'!J:J)</f>
        <v>0</v>
      </c>
      <c r="AI17" s="3">
        <f>_xlfn.XLOOKUP(Table219[[#This Row],[SAPSA Number]],'MAN STD Shotgun'!B:B,'MAN STD Shotgun'!J:J)</f>
        <v>0</v>
      </c>
      <c r="AJ17" s="4">
        <f>_xlfn.XLOOKUP(Table219[[#This Row],[SAPSA Number]],'MODIFIED Shotgun'!B:B,'MODIFIED Shotgun'!J:J)</f>
        <v>0</v>
      </c>
    </row>
    <row r="18" spans="1:36" x14ac:dyDescent="0.3">
      <c r="A18" s="2">
        <v>1321</v>
      </c>
      <c r="B18" s="2" t="s">
        <v>473</v>
      </c>
      <c r="C18" s="5" t="s">
        <v>124</v>
      </c>
      <c r="D18" s="5" t="s">
        <v>125</v>
      </c>
      <c r="E18" s="3" t="s">
        <v>126</v>
      </c>
      <c r="F18" s="73" t="str">
        <f ca="1">_xlfn.XLOOKUP(Table219[[#This Row],[SAPSA Number]],Table1[SAPSA number],Table1[Gender])</f>
        <v>S</v>
      </c>
      <c r="G18" s="3">
        <f ca="1">_xlfn.XLOOKUP(Table219[[#This Row],[SAPSA Number]],Table1[SAPSA number],Table1[Age])</f>
        <v>52</v>
      </c>
      <c r="H18" s="3">
        <v>3</v>
      </c>
      <c r="I18" s="3">
        <f>SUM(Table219[[#This Row],[Club Points]:[League Points Earned - Dec]])</f>
        <v>7</v>
      </c>
      <c r="J1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5</v>
      </c>
      <c r="K18" s="3"/>
      <c r="L18" s="3"/>
      <c r="M18" s="3"/>
      <c r="N18" s="3"/>
      <c r="O18" s="3"/>
      <c r="P18" s="3"/>
      <c r="Q18" s="3">
        <v>2</v>
      </c>
      <c r="R18" s="3"/>
      <c r="S18" s="3"/>
      <c r="T18" s="3"/>
      <c r="U18" s="3"/>
      <c r="V18" s="3"/>
      <c r="W18" s="3">
        <f>_xlfn.XLOOKUP(Table219[[#This Row],[SAPSA Number]],'STD Handgun'!B:B,'STD Handgun'!J:J)</f>
        <v>0</v>
      </c>
      <c r="X18" s="3">
        <f>_xlfn.XLOOKUP(Table219[[#This Row],[SAPSA Number]],'PROD OPTICS Handgun'!B:B,'PROD OPTICS Handgun'!J:J)</f>
        <v>0</v>
      </c>
      <c r="Y18" s="3">
        <f>_xlfn.XLOOKUP(Table219[[#This Row],[SAPSA Number]],'PROD Handgun'!B:B,'PROD Handgun'!J:J)</f>
        <v>0</v>
      </c>
      <c r="Z18" s="3">
        <f>_xlfn.XLOOKUP(Table219[[#This Row],[SAPSA Number]],'OPEN Handgun'!B:B,'OPEN Handgun'!J:J)</f>
        <v>0</v>
      </c>
      <c r="AA18" s="3">
        <f>_xlfn.XLOOKUP(Table219[[#This Row],[SAPSA Number]],'CLASSIC Handgun'!B:B,'CLASSIC Handgun'!J:J)</f>
        <v>0</v>
      </c>
      <c r="AB18" s="3">
        <f>_xlfn.XLOOKUP(Table219[[#This Row],[SAPSA Number]],PCC!B:B,PCC!J:J)</f>
        <v>0</v>
      </c>
      <c r="AC18" s="3">
        <f>_xlfn.XLOOKUP(Table219[[#This Row],[SAPSA Number]],'SAOpen Rifle'!B:B,'SAOpen Rifle'!J:J)</f>
        <v>0</v>
      </c>
      <c r="AD18" s="3">
        <f>_xlfn.XLOOKUP(Table219[[#This Row],[SAPSA Number]],'SA Std Rifle'!B:B,'SA Std Rifle'!J:J)</f>
        <v>0</v>
      </c>
      <c r="AE18" s="3">
        <f>_xlfn.XLOOKUP(Table219[[#This Row],[SAPSA Number]],'STD Mini Rifle'!B:B,'STD Mini Rifle'!J:J)</f>
        <v>0</v>
      </c>
      <c r="AF18" s="3">
        <f>_xlfn.XLOOKUP(Table219[[#This Row],[SAPSA Number]],'Open Mini Rifle'!B:B,'Open Mini Rifle'!J:J)</f>
        <v>0</v>
      </c>
      <c r="AG18" s="3">
        <f>_xlfn.XLOOKUP(Table219[[#This Row],[SAPSA Number]],'SA OPEN Shotgun'!B:B,'SA OPEN Shotgun'!J:J)</f>
        <v>0</v>
      </c>
      <c r="AH18" s="3">
        <f>_xlfn.XLOOKUP(Table219[[#This Row],[SAPSA Number]],'SA STD Shotgun'!B:B,'SA STD Shotgun'!J:J)</f>
        <v>0</v>
      </c>
      <c r="AI18" s="3">
        <f>_xlfn.XLOOKUP(Table219[[#This Row],[SAPSA Number]],'MAN STD Shotgun'!B:B,'MAN STD Shotgun'!J:J)</f>
        <v>5</v>
      </c>
      <c r="AJ18" s="4">
        <f>_xlfn.XLOOKUP(Table219[[#This Row],[SAPSA Number]],'MODIFIED Shotgun'!B:B,'MODIFIED Shotgun'!J:J)</f>
        <v>0</v>
      </c>
    </row>
    <row r="19" spans="1:36" x14ac:dyDescent="0.3">
      <c r="A19" s="2">
        <v>1471</v>
      </c>
      <c r="B19" s="2" t="str">
        <f>_xlfn.XLOOKUP(Table219[[#This Row],[SAPSA Number]],Table1[SAPSA number],Table1[Paid up])</f>
        <v>Y</v>
      </c>
      <c r="C19" s="5" t="s">
        <v>129</v>
      </c>
      <c r="D19" s="5" t="s">
        <v>130</v>
      </c>
      <c r="E19" s="3" t="s">
        <v>131</v>
      </c>
      <c r="F19" s="73" t="str">
        <f ca="1">_xlfn.XLOOKUP(Table219[[#This Row],[SAPSA Number]],Table1[SAPSA number],Table1[Gender])</f>
        <v xml:space="preserve"> </v>
      </c>
      <c r="G19" s="3">
        <f ca="1">_xlfn.XLOOKUP(Table219[[#This Row],[SAPSA Number]],Table1[SAPSA number],Table1[Age])</f>
        <v>43</v>
      </c>
      <c r="H19" s="3">
        <v>3</v>
      </c>
      <c r="I19" s="3">
        <f>SUM(Table219[[#This Row],[Club Points]:[League Points Earned - Dec]])</f>
        <v>7</v>
      </c>
      <c r="J1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2</v>
      </c>
      <c r="K19" s="3"/>
      <c r="L19" s="3"/>
      <c r="M19" s="3"/>
      <c r="N19" s="3"/>
      <c r="O19" s="3"/>
      <c r="P19" s="3"/>
      <c r="Q19" s="3">
        <v>5</v>
      </c>
      <c r="R19" s="3"/>
      <c r="S19" s="3"/>
      <c r="T19" s="3"/>
      <c r="U19" s="3"/>
      <c r="V19" s="3"/>
      <c r="W19" s="3">
        <f>_xlfn.XLOOKUP(Table219[[#This Row],[SAPSA Number]],'STD Handgun'!B:B,'STD Handgun'!J:J)</f>
        <v>0</v>
      </c>
      <c r="X19" s="3">
        <f>_xlfn.XLOOKUP(Table219[[#This Row],[SAPSA Number]],'PROD OPTICS Handgun'!B:B,'PROD OPTICS Handgun'!J:J)</f>
        <v>0</v>
      </c>
      <c r="Y19" s="3">
        <f>_xlfn.XLOOKUP(Table219[[#This Row],[SAPSA Number]],'PROD Handgun'!B:B,'PROD Handgun'!J:J)</f>
        <v>0</v>
      </c>
      <c r="Z19" s="3">
        <f>_xlfn.XLOOKUP(Table219[[#This Row],[SAPSA Number]],'OPEN Handgun'!B:B,'OPEN Handgun'!J:J)</f>
        <v>0</v>
      </c>
      <c r="AA19" s="3">
        <f>_xlfn.XLOOKUP(Table219[[#This Row],[SAPSA Number]],'CLASSIC Handgun'!B:B,'CLASSIC Handgun'!J:J)</f>
        <v>0</v>
      </c>
      <c r="AB19" s="3">
        <f>_xlfn.XLOOKUP(Table219[[#This Row],[SAPSA Number]],PCC!B:B,PCC!J:J)</f>
        <v>0</v>
      </c>
      <c r="AC19" s="3">
        <f>_xlfn.XLOOKUP(Table219[[#This Row],[SAPSA Number]],'SAOpen Rifle'!B:B,'SAOpen Rifle'!J:J)</f>
        <v>0</v>
      </c>
      <c r="AD19" s="3">
        <f>_xlfn.XLOOKUP(Table219[[#This Row],[SAPSA Number]],'SA Std Rifle'!B:B,'SA Std Rifle'!J:J)</f>
        <v>0</v>
      </c>
      <c r="AE19" s="3">
        <f>_xlfn.XLOOKUP(Table219[[#This Row],[SAPSA Number]],'STD Mini Rifle'!B:B,'STD Mini Rifle'!J:J)</f>
        <v>0</v>
      </c>
      <c r="AF19" s="3">
        <f>_xlfn.XLOOKUP(Table219[[#This Row],[SAPSA Number]],'Open Mini Rifle'!B:B,'Open Mini Rifle'!J:J)</f>
        <v>0</v>
      </c>
      <c r="AG19" s="3">
        <f>_xlfn.XLOOKUP(Table219[[#This Row],[SAPSA Number]],'SA OPEN Shotgun'!B:B,'SA OPEN Shotgun'!J:J)</f>
        <v>2</v>
      </c>
      <c r="AH19" s="3">
        <f>_xlfn.XLOOKUP(Table219[[#This Row],[SAPSA Number]],'SA STD Shotgun'!B:B,'SA STD Shotgun'!J:J)</f>
        <v>0</v>
      </c>
      <c r="AI19" s="3">
        <f>_xlfn.XLOOKUP(Table219[[#This Row],[SAPSA Number]],'MAN STD Shotgun'!B:B,'MAN STD Shotgun'!J:J)</f>
        <v>0</v>
      </c>
      <c r="AJ19" s="4">
        <f>_xlfn.XLOOKUP(Table219[[#This Row],[SAPSA Number]],'MODIFIED Shotgun'!B:B,'MODIFIED Shotgun'!J:J)</f>
        <v>0</v>
      </c>
    </row>
    <row r="20" spans="1:36" x14ac:dyDescent="0.3">
      <c r="A20" s="150">
        <v>1547</v>
      </c>
      <c r="B20" s="2"/>
      <c r="C20" s="5" t="s">
        <v>483</v>
      </c>
      <c r="D20" s="5" t="s">
        <v>484</v>
      </c>
      <c r="E20" s="3" t="s">
        <v>485</v>
      </c>
      <c r="F20" s="73" t="str">
        <f ca="1">_xlfn.XLOOKUP(Table219[[#This Row],[SAPSA Number]],Table1[SAPSA number],Table1[Gender])</f>
        <v>S</v>
      </c>
      <c r="G20" s="3">
        <f ca="1">_xlfn.XLOOKUP(Table219[[#This Row],[SAPSA Number]],Table1[SAPSA number],Table1[Age])</f>
        <v>53</v>
      </c>
      <c r="H20" s="3">
        <v>6</v>
      </c>
      <c r="I20" s="3">
        <f>SUM(Table219[[#This Row],[Club Points]:[League Points Earned - Dec]])</f>
        <v>0</v>
      </c>
      <c r="J2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4"/>
    </row>
    <row r="21" spans="1:36" x14ac:dyDescent="0.3">
      <c r="A21" s="2">
        <v>1637</v>
      </c>
      <c r="B21" s="2" t="s">
        <v>473</v>
      </c>
      <c r="C21" s="5" t="s">
        <v>20</v>
      </c>
      <c r="D21" s="5" t="s">
        <v>21</v>
      </c>
      <c r="E21" s="3" t="s">
        <v>22</v>
      </c>
      <c r="F21" s="73" t="str">
        <f ca="1">_xlfn.XLOOKUP(Table219[[#This Row],[SAPSA Number]],Table1[SAPSA number],Table1[Gender])</f>
        <v>GS</v>
      </c>
      <c r="G21" s="3">
        <f ca="1">_xlfn.XLOOKUP(Table219[[#This Row],[SAPSA Number]],Table1[SAPSA number],Table1[Age])</f>
        <v>70</v>
      </c>
      <c r="H21" s="3">
        <v>2</v>
      </c>
      <c r="I21" s="3">
        <f>SUM(Table219[[#This Row],[Club Points]:[League Points Earned - Dec]])</f>
        <v>7</v>
      </c>
      <c r="J2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>
        <f>_xlfn.XLOOKUP(Table219[[#This Row],[SAPSA Number]],'STD Handgun'!B:B,'STD Handgun'!J:J)</f>
        <v>0</v>
      </c>
      <c r="X21" s="3">
        <f>_xlfn.XLOOKUP(Table219[[#This Row],[SAPSA Number]],'PROD OPTICS Handgun'!B:B,'PROD OPTICS Handgun'!J:J)</f>
        <v>0</v>
      </c>
      <c r="Y21" s="3">
        <f>_xlfn.XLOOKUP(Table219[[#This Row],[SAPSA Number]],'PROD Handgun'!B:B,'PROD Handgun'!J:J)</f>
        <v>0</v>
      </c>
      <c r="Z21" s="3">
        <f>_xlfn.XLOOKUP(Table219[[#This Row],[SAPSA Number]],'OPEN Handgun'!B:B,'OPEN Handgun'!J:J)</f>
        <v>0</v>
      </c>
      <c r="AA21" s="3">
        <f>_xlfn.XLOOKUP(Table219[[#This Row],[SAPSA Number]],'CLASSIC Handgun'!B:B,'CLASSIC Handgun'!J:J)</f>
        <v>7</v>
      </c>
      <c r="AB21" s="3">
        <f>_xlfn.XLOOKUP(Table219[[#This Row],[SAPSA Number]],PCC!B:B,PCC!J:J)</f>
        <v>0</v>
      </c>
      <c r="AC21" s="3">
        <f>_xlfn.XLOOKUP(Table219[[#This Row],[SAPSA Number]],'SAOpen Rifle'!B:B,'SAOpen Rifle'!J:J)</f>
        <v>0</v>
      </c>
      <c r="AD21" s="3">
        <f>_xlfn.XLOOKUP(Table219[[#This Row],[SAPSA Number]],'SA Std Rifle'!B:B,'SA Std Rifle'!J:J)</f>
        <v>0</v>
      </c>
      <c r="AE21" s="3">
        <f>_xlfn.XLOOKUP(Table219[[#This Row],[SAPSA Number]],'STD Mini Rifle'!B:B,'STD Mini Rifle'!J:J)</f>
        <v>0</v>
      </c>
      <c r="AF21" s="3">
        <f>_xlfn.XLOOKUP(Table219[[#This Row],[SAPSA Number]],'Open Mini Rifle'!B:B,'Open Mini Rifle'!J:J)</f>
        <v>0</v>
      </c>
      <c r="AG21" s="3">
        <f>_xlfn.XLOOKUP(Table219[[#This Row],[SAPSA Number]],'SA OPEN Shotgun'!B:B,'SA OPEN Shotgun'!J:J)</f>
        <v>0</v>
      </c>
      <c r="AH21" s="3">
        <f>_xlfn.XLOOKUP(Table219[[#This Row],[SAPSA Number]],'SA STD Shotgun'!B:B,'SA STD Shotgun'!J:J)</f>
        <v>0</v>
      </c>
      <c r="AI21" s="3">
        <f>_xlfn.XLOOKUP(Table219[[#This Row],[SAPSA Number]],'MAN STD Shotgun'!B:B,'MAN STD Shotgun'!J:J)</f>
        <v>0</v>
      </c>
      <c r="AJ21" s="4">
        <f>_xlfn.XLOOKUP(Table219[[#This Row],[SAPSA Number]],'MODIFIED Shotgun'!B:B,'MODIFIED Shotgun'!J:J)</f>
        <v>0</v>
      </c>
    </row>
    <row r="22" spans="1:36" x14ac:dyDescent="0.3">
      <c r="A22" s="2">
        <v>1716</v>
      </c>
      <c r="B22" s="2" t="str">
        <f>_xlfn.XLOOKUP(Table219[[#This Row],[SAPSA Number]],Table1[SAPSA number],Table1[Paid up])</f>
        <v>Y</v>
      </c>
      <c r="C22" s="5" t="s">
        <v>13</v>
      </c>
      <c r="D22" s="5" t="s">
        <v>14</v>
      </c>
      <c r="E22" s="3" t="s">
        <v>15</v>
      </c>
      <c r="F22" s="73" t="str">
        <f ca="1">_xlfn.XLOOKUP(Table219[[#This Row],[SAPSA Number]],Table1[SAPSA number],Table1[Gender])</f>
        <v>S</v>
      </c>
      <c r="G22" s="3">
        <f ca="1">_xlfn.XLOOKUP(Table219[[#This Row],[SAPSA Number]],Table1[SAPSA number],Table1[Age])</f>
        <v>58</v>
      </c>
      <c r="H22" s="3">
        <v>4</v>
      </c>
      <c r="I22" s="3">
        <f>SUM(Table219[[#This Row],[Club Points]:[League Points Earned - Dec]])</f>
        <v>30</v>
      </c>
      <c r="J2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17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/>
      <c r="R22" s="3"/>
      <c r="S22" s="3"/>
      <c r="T22" s="3"/>
      <c r="U22" s="3">
        <v>1</v>
      </c>
      <c r="V22" s="3"/>
      <c r="W22" s="3">
        <f>_xlfn.XLOOKUP(Table219[[#This Row],[SAPSA Number]],'STD Handgun'!B:B,'STD Handgun'!J:J)</f>
        <v>0</v>
      </c>
      <c r="X22" s="3">
        <f>_xlfn.XLOOKUP(Table219[[#This Row],[SAPSA Number]],'PROD OPTICS Handgun'!B:B,'PROD OPTICS Handgun'!J:J)</f>
        <v>2</v>
      </c>
      <c r="Y22" s="3">
        <f>_xlfn.XLOOKUP(Table219[[#This Row],[SAPSA Number]],'PROD Handgun'!B:B,'PROD Handgun'!J:J)</f>
        <v>0</v>
      </c>
      <c r="Z22" s="3">
        <f>_xlfn.XLOOKUP(Table219[[#This Row],[SAPSA Number]],'OPEN Handgun'!B:B,'OPEN Handgun'!J:J)</f>
        <v>0</v>
      </c>
      <c r="AA22" s="3">
        <f>_xlfn.XLOOKUP(Table219[[#This Row],[SAPSA Number]],'CLASSIC Handgun'!B:B,'CLASSIC Handgun'!J:J)</f>
        <v>0</v>
      </c>
      <c r="AB22" s="3">
        <f>_xlfn.XLOOKUP(Table219[[#This Row],[SAPSA Number]],PCC!B:B,PCC!J:J)</f>
        <v>9</v>
      </c>
      <c r="AC22" s="3">
        <f>_xlfn.XLOOKUP(Table219[[#This Row],[SAPSA Number]],'SAOpen Rifle'!B:B,'SAOpen Rifle'!J:J)</f>
        <v>0</v>
      </c>
      <c r="AD22" s="3">
        <f>_xlfn.XLOOKUP(Table219[[#This Row],[SAPSA Number]],'SA Std Rifle'!B:B,'SA Std Rifle'!J:J)</f>
        <v>0</v>
      </c>
      <c r="AE22" s="3">
        <f>_xlfn.XLOOKUP(Table219[[#This Row],[SAPSA Number]],'STD Mini Rifle'!B:B,'STD Mini Rifle'!J:J)</f>
        <v>0</v>
      </c>
      <c r="AF22" s="3">
        <f>_xlfn.XLOOKUP(Table219[[#This Row],[SAPSA Number]],'Open Mini Rifle'!B:B,'Open Mini Rifle'!J:J)</f>
        <v>6</v>
      </c>
      <c r="AG22" s="3">
        <f>_xlfn.XLOOKUP(Table219[[#This Row],[SAPSA Number]],'SA OPEN Shotgun'!B:B,'SA OPEN Shotgun'!J:J)</f>
        <v>0</v>
      </c>
      <c r="AH22" s="3">
        <f>_xlfn.XLOOKUP(Table219[[#This Row],[SAPSA Number]],'SA STD Shotgun'!B:B,'SA STD Shotgun'!J:J)</f>
        <v>0</v>
      </c>
      <c r="AI22" s="3">
        <f>_xlfn.XLOOKUP(Table219[[#This Row],[SAPSA Number]],'MAN STD Shotgun'!B:B,'MAN STD Shotgun'!J:J)</f>
        <v>0</v>
      </c>
      <c r="AJ22" s="4">
        <f>_xlfn.XLOOKUP(Table219[[#This Row],[SAPSA Number]],'MODIFIED Shotgun'!B:B,'MODIFIED Shotgun'!J:J)</f>
        <v>0</v>
      </c>
    </row>
    <row r="23" spans="1:36" x14ac:dyDescent="0.3">
      <c r="A23" s="2">
        <v>1771</v>
      </c>
      <c r="B23" s="2" t="str">
        <f>_xlfn.XLOOKUP(Table219[[#This Row],[SAPSA Number]],Table1[SAPSA number],Table1[Paid up])</f>
        <v>Y</v>
      </c>
      <c r="C23" s="5" t="s">
        <v>147</v>
      </c>
      <c r="D23" s="5" t="s">
        <v>148</v>
      </c>
      <c r="E23" s="3" t="s">
        <v>149</v>
      </c>
      <c r="F23" s="73" t="str">
        <f ca="1">_xlfn.XLOOKUP(Table219[[#This Row],[SAPSA Number]],Table1[SAPSA number],Table1[Gender])</f>
        <v>GS</v>
      </c>
      <c r="G23" s="3">
        <f ca="1">_xlfn.XLOOKUP(Table219[[#This Row],[SAPSA Number]],Table1[SAPSA number],Table1[Age])</f>
        <v>81</v>
      </c>
      <c r="H23" s="3">
        <v>1</v>
      </c>
      <c r="I23" s="3">
        <f>SUM(Table219[[#This Row],[Club Points]:[League Points Earned - Dec]])</f>
        <v>6</v>
      </c>
      <c r="J2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2</v>
      </c>
      <c r="K23" s="3"/>
      <c r="L23" s="3"/>
      <c r="M23" s="3"/>
      <c r="N23" s="3"/>
      <c r="O23" s="3">
        <v>2</v>
      </c>
      <c r="P23" s="3">
        <v>2</v>
      </c>
      <c r="Q23" s="3"/>
      <c r="R23" s="3"/>
      <c r="S23" s="3"/>
      <c r="T23" s="3"/>
      <c r="U23" s="3"/>
      <c r="V23" s="3"/>
      <c r="W23" s="3">
        <f>_xlfn.XLOOKUP(Table219[[#This Row],[SAPSA Number]],'STD Handgun'!B:B,'STD Handgun'!J:J)</f>
        <v>2</v>
      </c>
      <c r="X23" s="3">
        <f>_xlfn.XLOOKUP(Table219[[#This Row],[SAPSA Number]],'PROD OPTICS Handgun'!B:B,'PROD OPTICS Handgun'!J:J)</f>
        <v>0</v>
      </c>
      <c r="Y23" s="3">
        <f>_xlfn.XLOOKUP(Table219[[#This Row],[SAPSA Number]],'PROD Handgun'!B:B,'PROD Handgun'!J:J)</f>
        <v>0</v>
      </c>
      <c r="Z23" s="3">
        <f>_xlfn.XLOOKUP(Table219[[#This Row],[SAPSA Number]],'OPEN Handgun'!B:B,'OPEN Handgun'!J:J)</f>
        <v>0</v>
      </c>
      <c r="AA23" s="3">
        <f>_xlfn.XLOOKUP(Table219[[#This Row],[SAPSA Number]],'CLASSIC Handgun'!B:B,'CLASSIC Handgun'!J:J)</f>
        <v>0</v>
      </c>
      <c r="AB23" s="3">
        <f>_xlfn.XLOOKUP(Table219[[#This Row],[SAPSA Number]],PCC!B:B,PCC!J:J)</f>
        <v>0</v>
      </c>
      <c r="AC23" s="3">
        <f>_xlfn.XLOOKUP(Table219[[#This Row],[SAPSA Number]],'SAOpen Rifle'!B:B,'SAOpen Rifle'!J:J)</f>
        <v>0</v>
      </c>
      <c r="AD23" s="3">
        <f>_xlfn.XLOOKUP(Table219[[#This Row],[SAPSA Number]],'SA Std Rifle'!B:B,'SA Std Rifle'!J:J)</f>
        <v>0</v>
      </c>
      <c r="AE23" s="3">
        <f>_xlfn.XLOOKUP(Table219[[#This Row],[SAPSA Number]],'STD Mini Rifle'!B:B,'STD Mini Rifle'!J:J)</f>
        <v>0</v>
      </c>
      <c r="AF23" s="3">
        <f>_xlfn.XLOOKUP(Table219[[#This Row],[SAPSA Number]],'Open Mini Rifle'!B:B,'Open Mini Rifle'!J:J)</f>
        <v>0</v>
      </c>
      <c r="AG23" s="3">
        <f>_xlfn.XLOOKUP(Table219[[#This Row],[SAPSA Number]],'SA OPEN Shotgun'!B:B,'SA OPEN Shotgun'!J:J)</f>
        <v>0</v>
      </c>
      <c r="AH23" s="3">
        <f>_xlfn.XLOOKUP(Table219[[#This Row],[SAPSA Number]],'SA STD Shotgun'!B:B,'SA STD Shotgun'!J:J)</f>
        <v>0</v>
      </c>
      <c r="AI23" s="3">
        <f>_xlfn.XLOOKUP(Table219[[#This Row],[SAPSA Number]],'MAN STD Shotgun'!B:B,'MAN STD Shotgun'!J:J)</f>
        <v>0</v>
      </c>
      <c r="AJ23" s="4">
        <f>_xlfn.XLOOKUP(Table219[[#This Row],[SAPSA Number]],'MODIFIED Shotgun'!B:B,'MODIFIED Shotgun'!J:J)</f>
        <v>0</v>
      </c>
    </row>
    <row r="24" spans="1:36" x14ac:dyDescent="0.3">
      <c r="A24" s="2">
        <v>1777</v>
      </c>
      <c r="B24" s="2" t="str">
        <f>_xlfn.XLOOKUP(Table219[[#This Row],[SAPSA Number]],Table1[SAPSA number],Table1[Paid up])</f>
        <v>Y</v>
      </c>
      <c r="C24" s="5" t="s">
        <v>255</v>
      </c>
      <c r="D24" s="5" t="s">
        <v>256</v>
      </c>
      <c r="E24" s="3" t="s">
        <v>257</v>
      </c>
      <c r="F24" s="71" t="str">
        <f ca="1">_xlfn.XLOOKUP(Table219[[#This Row],[SAPSA Number]],Table1[SAPSA number],Table1[Gender])</f>
        <v>S</v>
      </c>
      <c r="G24" s="3">
        <f ca="1">_xlfn.XLOOKUP(Table219[[#This Row],[SAPSA Number]],Table1[SAPSA number],Table1[Age])</f>
        <v>52</v>
      </c>
      <c r="H24" s="3">
        <v>4</v>
      </c>
      <c r="I24" s="3">
        <f>SUM(Table219[[#This Row],[Club Points]:[League Points Earned - Dec]])</f>
        <v>8</v>
      </c>
      <c r="J2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6</v>
      </c>
      <c r="K24" s="3"/>
      <c r="L24" s="3"/>
      <c r="M24" s="3">
        <v>2</v>
      </c>
      <c r="N24" s="3"/>
      <c r="O24" s="3"/>
      <c r="P24" s="3"/>
      <c r="Q24" s="3"/>
      <c r="R24" s="3"/>
      <c r="S24" s="3"/>
      <c r="T24" s="3"/>
      <c r="U24" s="3"/>
      <c r="V24" s="3"/>
      <c r="W24" s="3">
        <f>_xlfn.XLOOKUP(Table219[[#This Row],[SAPSA Number]],'STD Handgun'!B:B,'STD Handgun'!J:J)</f>
        <v>4</v>
      </c>
      <c r="X24" s="3">
        <f>_xlfn.XLOOKUP(Table219[[#This Row],[SAPSA Number]],'PROD OPTICS Handgun'!B:B,'PROD OPTICS Handgun'!J:J)</f>
        <v>0</v>
      </c>
      <c r="Y24" s="3">
        <f>_xlfn.XLOOKUP(Table219[[#This Row],[SAPSA Number]],'PROD Handgun'!B:B,'PROD Handgun'!J:J)</f>
        <v>0</v>
      </c>
      <c r="Z24" s="3">
        <f>_xlfn.XLOOKUP(Table219[[#This Row],[SAPSA Number]],'OPEN Handgun'!B:B,'OPEN Handgun'!J:J)</f>
        <v>0</v>
      </c>
      <c r="AA24" s="3">
        <f>_xlfn.XLOOKUP(Table219[[#This Row],[SAPSA Number]],'CLASSIC Handgun'!B:B,'CLASSIC Handgun'!J:J)</f>
        <v>0</v>
      </c>
      <c r="AB24" s="3">
        <f>_xlfn.XLOOKUP(Table219[[#This Row],[SAPSA Number]],PCC!B:B,PCC!J:J)</f>
        <v>0</v>
      </c>
      <c r="AC24" s="3">
        <f>_xlfn.XLOOKUP(Table219[[#This Row],[SAPSA Number]],'SAOpen Rifle'!B:B,'SAOpen Rifle'!J:J)</f>
        <v>1</v>
      </c>
      <c r="AD24" s="3">
        <f>_xlfn.XLOOKUP(Table219[[#This Row],[SAPSA Number]],'SA Std Rifle'!B:B,'SA Std Rifle'!J:J)</f>
        <v>0</v>
      </c>
      <c r="AE24" s="3">
        <f>_xlfn.XLOOKUP(Table219[[#This Row],[SAPSA Number]],'STD Mini Rifle'!B:B,'STD Mini Rifle'!J:J)</f>
        <v>0</v>
      </c>
      <c r="AF24" s="3">
        <f>_xlfn.XLOOKUP(Table219[[#This Row],[SAPSA Number]],'Open Mini Rifle'!B:B,'Open Mini Rifle'!J:J)</f>
        <v>0</v>
      </c>
      <c r="AG24" s="3">
        <f>_xlfn.XLOOKUP(Table219[[#This Row],[SAPSA Number]],'SA OPEN Shotgun'!B:B,'SA OPEN Shotgun'!J:J)</f>
        <v>0</v>
      </c>
      <c r="AH24" s="3">
        <f>_xlfn.XLOOKUP(Table219[[#This Row],[SAPSA Number]],'SA STD Shotgun'!B:B,'SA STD Shotgun'!J:J)</f>
        <v>0</v>
      </c>
      <c r="AI24" s="3">
        <f>_xlfn.XLOOKUP(Table219[[#This Row],[SAPSA Number]],'MAN STD Shotgun'!B:B,'MAN STD Shotgun'!J:J)</f>
        <v>0</v>
      </c>
      <c r="AJ24" s="4">
        <f>_xlfn.XLOOKUP(Table219[[#This Row],[SAPSA Number]],'MODIFIED Shotgun'!B:B,'MODIFIED Shotgun'!J:J)</f>
        <v>0</v>
      </c>
    </row>
    <row r="25" spans="1:36" x14ac:dyDescent="0.3">
      <c r="A25" s="2">
        <v>1929</v>
      </c>
      <c r="B25" s="2" t="s">
        <v>473</v>
      </c>
      <c r="C25" s="5" t="s">
        <v>29</v>
      </c>
      <c r="D25" s="5" t="s">
        <v>30</v>
      </c>
      <c r="E25" s="3" t="s">
        <v>27</v>
      </c>
      <c r="F25" s="73" t="str">
        <f ca="1">_xlfn.XLOOKUP(Table219[[#This Row],[SAPSA Number]],Table1[SAPSA number],Table1[Gender])</f>
        <v xml:space="preserve"> </v>
      </c>
      <c r="G25" s="3">
        <f ca="1">_xlfn.XLOOKUP(Table219[[#This Row],[SAPSA Number]],Table1[SAPSA number],Table1[Age])</f>
        <v>44</v>
      </c>
      <c r="H25" s="3">
        <v>0</v>
      </c>
      <c r="I25" s="3">
        <f>SUM(Table219[[#This Row],[Club Points]:[League Points Earned - Dec]])</f>
        <v>0</v>
      </c>
      <c r="J2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>
        <f>_xlfn.XLOOKUP(Table219[[#This Row],[SAPSA Number]],'STD Handgun'!B:B,'STD Handgun'!J:J)</f>
        <v>0</v>
      </c>
      <c r="X25" s="3">
        <f>_xlfn.XLOOKUP(Table219[[#This Row],[SAPSA Number]],'PROD OPTICS Handgun'!B:B,'PROD OPTICS Handgun'!J:J)</f>
        <v>0</v>
      </c>
      <c r="Y25" s="3">
        <f>_xlfn.XLOOKUP(Table219[[#This Row],[SAPSA Number]],'PROD Handgun'!B:B,'PROD Handgun'!J:J)</f>
        <v>0</v>
      </c>
      <c r="Z25" s="3">
        <f>_xlfn.XLOOKUP(Table219[[#This Row],[SAPSA Number]],'OPEN Handgun'!B:B,'OPEN Handgun'!J:J)</f>
        <v>0</v>
      </c>
      <c r="AA25" s="3">
        <f>_xlfn.XLOOKUP(Table219[[#This Row],[SAPSA Number]],'CLASSIC Handgun'!B:B,'CLASSIC Handgun'!J:J)</f>
        <v>0</v>
      </c>
      <c r="AB25" s="3">
        <f>_xlfn.XLOOKUP(Table219[[#This Row],[SAPSA Number]],PCC!B:B,PCC!J:J)</f>
        <v>0</v>
      </c>
      <c r="AC25" s="3">
        <f>_xlfn.XLOOKUP(Table219[[#This Row],[SAPSA Number]],'SAOpen Rifle'!B:B,'SAOpen Rifle'!J:J)</f>
        <v>0</v>
      </c>
      <c r="AD25" s="3">
        <f>_xlfn.XLOOKUP(Table219[[#This Row],[SAPSA Number]],'SA Std Rifle'!B:B,'SA Std Rifle'!J:J)</f>
        <v>0</v>
      </c>
      <c r="AE25" s="3">
        <f>_xlfn.XLOOKUP(Table219[[#This Row],[SAPSA Number]],'STD Mini Rifle'!B:B,'STD Mini Rifle'!J:J)</f>
        <v>0</v>
      </c>
      <c r="AF25" s="3">
        <f>_xlfn.XLOOKUP(Table219[[#This Row],[SAPSA Number]],'Open Mini Rifle'!B:B,'Open Mini Rifle'!J:J)</f>
        <v>0</v>
      </c>
      <c r="AG25" s="3">
        <f>_xlfn.XLOOKUP(Table219[[#This Row],[SAPSA Number]],'SA OPEN Shotgun'!B:B,'SA OPEN Shotgun'!J:J)</f>
        <v>0</v>
      </c>
      <c r="AH25" s="3">
        <f>_xlfn.XLOOKUP(Table219[[#This Row],[SAPSA Number]],'SA STD Shotgun'!B:B,'SA STD Shotgun'!J:J)</f>
        <v>0</v>
      </c>
      <c r="AI25" s="3">
        <f>_xlfn.XLOOKUP(Table219[[#This Row],[SAPSA Number]],'MAN STD Shotgun'!B:B,'MAN STD Shotgun'!J:J)</f>
        <v>0</v>
      </c>
      <c r="AJ25" s="4">
        <f>_xlfn.XLOOKUP(Table219[[#This Row],[SAPSA Number]],'MODIFIED Shotgun'!B:B,'MODIFIED Shotgun'!J:J)</f>
        <v>0</v>
      </c>
    </row>
    <row r="26" spans="1:36" x14ac:dyDescent="0.3">
      <c r="A26" s="2">
        <v>1931</v>
      </c>
      <c r="B26" s="2" t="s">
        <v>473</v>
      </c>
      <c r="C26" s="5" t="s">
        <v>167</v>
      </c>
      <c r="D26" s="5" t="s">
        <v>168</v>
      </c>
      <c r="E26" s="3" t="s">
        <v>154</v>
      </c>
      <c r="F26" s="73" t="str">
        <f>_xlfn.XLOOKUP(Table219[[#This Row],[SAPSA Number]],Table1[SAPSA number],Table1[Gender])</f>
        <v>Lady</v>
      </c>
      <c r="G26" s="3">
        <f ca="1">_xlfn.XLOOKUP(Table219[[#This Row],[SAPSA Number]],Table1[SAPSA number],Table1[Age])</f>
        <v>56</v>
      </c>
      <c r="H26" s="3">
        <v>0</v>
      </c>
      <c r="I26" s="3">
        <f>SUM(Table219[[#This Row],[Club Points]:[League Points Earned - Dec]])</f>
        <v>0</v>
      </c>
      <c r="J2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>
        <f>_xlfn.XLOOKUP(Table219[[#This Row],[SAPSA Number]],'STD Handgun'!B:B,'STD Handgun'!J:J)</f>
        <v>0</v>
      </c>
      <c r="X26" s="3">
        <f>_xlfn.XLOOKUP(Table219[[#This Row],[SAPSA Number]],'PROD OPTICS Handgun'!B:B,'PROD OPTICS Handgun'!J:J)</f>
        <v>0</v>
      </c>
      <c r="Y26" s="3">
        <f>_xlfn.XLOOKUP(Table219[[#This Row],[SAPSA Number]],'PROD Handgun'!B:B,'PROD Handgun'!J:J)</f>
        <v>0</v>
      </c>
      <c r="Z26" s="3">
        <f>_xlfn.XLOOKUP(Table219[[#This Row],[SAPSA Number]],'OPEN Handgun'!B:B,'OPEN Handgun'!J:J)</f>
        <v>0</v>
      </c>
      <c r="AA26" s="3">
        <f>_xlfn.XLOOKUP(Table219[[#This Row],[SAPSA Number]],'CLASSIC Handgun'!B:B,'CLASSIC Handgun'!J:J)</f>
        <v>0</v>
      </c>
      <c r="AB26" s="3">
        <f>_xlfn.XLOOKUP(Table219[[#This Row],[SAPSA Number]],PCC!B:B,PCC!J:J)</f>
        <v>0</v>
      </c>
      <c r="AC26" s="3">
        <f>_xlfn.XLOOKUP(Table219[[#This Row],[SAPSA Number]],'SAOpen Rifle'!B:B,'SAOpen Rifle'!J:J)</f>
        <v>0</v>
      </c>
      <c r="AD26" s="3">
        <f>_xlfn.XLOOKUP(Table219[[#This Row],[SAPSA Number]],'SA Std Rifle'!B:B,'SA Std Rifle'!J:J)</f>
        <v>0</v>
      </c>
      <c r="AE26" s="3">
        <f>_xlfn.XLOOKUP(Table219[[#This Row],[SAPSA Number]],'STD Mini Rifle'!B:B,'STD Mini Rifle'!J:J)</f>
        <v>0</v>
      </c>
      <c r="AF26" s="3">
        <f>_xlfn.XLOOKUP(Table219[[#This Row],[SAPSA Number]],'Open Mini Rifle'!B:B,'Open Mini Rifle'!J:J)</f>
        <v>0</v>
      </c>
      <c r="AG26" s="3">
        <f>_xlfn.XLOOKUP(Table219[[#This Row],[SAPSA Number]],'SA OPEN Shotgun'!B:B,'SA OPEN Shotgun'!J:J)</f>
        <v>0</v>
      </c>
      <c r="AH26" s="3">
        <f>_xlfn.XLOOKUP(Table219[[#This Row],[SAPSA Number]],'SA STD Shotgun'!B:B,'SA STD Shotgun'!J:J)</f>
        <v>0</v>
      </c>
      <c r="AI26" s="3">
        <f>_xlfn.XLOOKUP(Table219[[#This Row],[SAPSA Number]],'MAN STD Shotgun'!B:B,'MAN STD Shotgun'!J:J)</f>
        <v>0</v>
      </c>
      <c r="AJ26" s="4">
        <f>_xlfn.XLOOKUP(Table219[[#This Row],[SAPSA Number]],'MODIFIED Shotgun'!B:B,'MODIFIED Shotgun'!J:J)</f>
        <v>0</v>
      </c>
    </row>
    <row r="27" spans="1:36" x14ac:dyDescent="0.3">
      <c r="A27" s="2">
        <v>2051</v>
      </c>
      <c r="B27" s="2" t="str">
        <f>_xlfn.XLOOKUP(Table219[[#This Row],[SAPSA Number]],Table1[SAPSA number],Table1[Paid up])</f>
        <v>Y</v>
      </c>
      <c r="C27" s="5" t="s">
        <v>155</v>
      </c>
      <c r="D27" s="5" t="s">
        <v>58</v>
      </c>
      <c r="E27" s="3" t="s">
        <v>156</v>
      </c>
      <c r="F27" s="73" t="str">
        <f ca="1">_xlfn.XLOOKUP(Table219[[#This Row],[SAPSA Number]],Table1[SAPSA number],Table1[Gender])</f>
        <v>GS</v>
      </c>
      <c r="G27" s="3">
        <f ca="1">_xlfn.XLOOKUP(Table219[[#This Row],[SAPSA Number]],Table1[SAPSA number],Table1[Age])</f>
        <v>72</v>
      </c>
      <c r="H27" s="3">
        <v>0</v>
      </c>
      <c r="I27" s="3">
        <f>SUM(Table219[[#This Row],[Club Points]:[League Points Earned - Dec]])</f>
        <v>6</v>
      </c>
      <c r="J2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>
        <v>1</v>
      </c>
      <c r="V27" s="3"/>
      <c r="W27" s="3">
        <f>_xlfn.XLOOKUP(Table219[[#This Row],[SAPSA Number]],'STD Handgun'!B:B,'STD Handgun'!J:J)</f>
        <v>4</v>
      </c>
      <c r="X27" s="3">
        <f>_xlfn.XLOOKUP(Table219[[#This Row],[SAPSA Number]],'PROD OPTICS Handgun'!B:B,'PROD OPTICS Handgun'!J:J)</f>
        <v>0</v>
      </c>
      <c r="Y27" s="3">
        <f>_xlfn.XLOOKUP(Table219[[#This Row],[SAPSA Number]],'PROD Handgun'!B:B,'PROD Handgun'!J:J)</f>
        <v>0</v>
      </c>
      <c r="Z27" s="3">
        <f>_xlfn.XLOOKUP(Table219[[#This Row],[SAPSA Number]],'OPEN Handgun'!B:B,'OPEN Handgun'!J:J)</f>
        <v>0</v>
      </c>
      <c r="AA27" s="3">
        <f>_xlfn.XLOOKUP(Table219[[#This Row],[SAPSA Number]],'CLASSIC Handgun'!B:B,'CLASSIC Handgun'!J:J)</f>
        <v>0</v>
      </c>
      <c r="AB27" s="3">
        <f>_xlfn.XLOOKUP(Table219[[#This Row],[SAPSA Number]],PCC!B:B,PCC!J:J)</f>
        <v>0</v>
      </c>
      <c r="AC27" s="3">
        <f>_xlfn.XLOOKUP(Table219[[#This Row],[SAPSA Number]],'SAOpen Rifle'!B:B,'SAOpen Rifle'!J:J)</f>
        <v>0</v>
      </c>
      <c r="AD27" s="3">
        <f>_xlfn.XLOOKUP(Table219[[#This Row],[SAPSA Number]],'SA Std Rifle'!B:B,'SA Std Rifle'!J:J)</f>
        <v>0</v>
      </c>
      <c r="AE27" s="3">
        <f>_xlfn.XLOOKUP(Table219[[#This Row],[SAPSA Number]],'STD Mini Rifle'!B:B,'STD Mini Rifle'!J:J)</f>
        <v>0</v>
      </c>
      <c r="AF27" s="3">
        <f>_xlfn.XLOOKUP(Table219[[#This Row],[SAPSA Number]],'Open Mini Rifle'!B:B,'Open Mini Rifle'!J:J)</f>
        <v>0</v>
      </c>
      <c r="AG27" s="3">
        <f>_xlfn.XLOOKUP(Table219[[#This Row],[SAPSA Number]],'SA OPEN Shotgun'!B:B,'SA OPEN Shotgun'!J:J)</f>
        <v>0</v>
      </c>
      <c r="AH27" s="3">
        <f>_xlfn.XLOOKUP(Table219[[#This Row],[SAPSA Number]],'SA STD Shotgun'!B:B,'SA STD Shotgun'!J:J)</f>
        <v>0</v>
      </c>
      <c r="AI27" s="3">
        <f>_xlfn.XLOOKUP(Table219[[#This Row],[SAPSA Number]],'MAN STD Shotgun'!B:B,'MAN STD Shotgun'!J:J)</f>
        <v>1</v>
      </c>
      <c r="AJ27" s="4">
        <f>_xlfn.XLOOKUP(Table219[[#This Row],[SAPSA Number]],'MODIFIED Shotgun'!B:B,'MODIFIED Shotgun'!J:J)</f>
        <v>0</v>
      </c>
    </row>
    <row r="28" spans="1:36" x14ac:dyDescent="0.3">
      <c r="A28" s="2">
        <v>2089</v>
      </c>
      <c r="B28" s="2" t="str">
        <f>_xlfn.XLOOKUP(Table219[[#This Row],[SAPSA Number]],Table1[SAPSA number],Table1[Paid up])</f>
        <v>Y</v>
      </c>
      <c r="C28" s="5" t="s">
        <v>57</v>
      </c>
      <c r="D28" s="5" t="s">
        <v>58</v>
      </c>
      <c r="E28" s="3" t="s">
        <v>46</v>
      </c>
      <c r="F28" s="73" t="str">
        <f ca="1">_xlfn.XLOOKUP(Table219[[#This Row],[SAPSA Number]],Table1[SAPSA number],Table1[Gender])</f>
        <v xml:space="preserve"> </v>
      </c>
      <c r="G28" s="3">
        <f ca="1">_xlfn.XLOOKUP(Table219[[#This Row],[SAPSA Number]],Table1[SAPSA number],Table1[Age])</f>
        <v>42</v>
      </c>
      <c r="H28" s="3">
        <v>0</v>
      </c>
      <c r="I28" s="3">
        <f>SUM(Table219[[#This Row],[Club Points]:[League Points Earned - Dec]])</f>
        <v>0</v>
      </c>
      <c r="J2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>
        <f>_xlfn.XLOOKUP(Table219[[#This Row],[SAPSA Number]],'STD Handgun'!B:B,'STD Handgun'!J:J)</f>
        <v>0</v>
      </c>
      <c r="X28" s="3">
        <f>_xlfn.XLOOKUP(Table219[[#This Row],[SAPSA Number]],'PROD OPTICS Handgun'!B:B,'PROD OPTICS Handgun'!J:J)</f>
        <v>0</v>
      </c>
      <c r="Y28" s="3">
        <f>_xlfn.XLOOKUP(Table219[[#This Row],[SAPSA Number]],'PROD Handgun'!B:B,'PROD Handgun'!J:J)</f>
        <v>0</v>
      </c>
      <c r="Z28" s="3">
        <f>_xlfn.XLOOKUP(Table219[[#This Row],[SAPSA Number]],'OPEN Handgun'!B:B,'OPEN Handgun'!J:J)</f>
        <v>0</v>
      </c>
      <c r="AA28" s="3">
        <f>_xlfn.XLOOKUP(Table219[[#This Row],[SAPSA Number]],'CLASSIC Handgun'!B:B,'CLASSIC Handgun'!J:J)</f>
        <v>0</v>
      </c>
      <c r="AB28" s="3">
        <f>_xlfn.XLOOKUP(Table219[[#This Row],[SAPSA Number]],PCC!B:B,PCC!J:J)</f>
        <v>0</v>
      </c>
      <c r="AC28" s="3">
        <f>_xlfn.XLOOKUP(Table219[[#This Row],[SAPSA Number]],'SAOpen Rifle'!B:B,'SAOpen Rifle'!J:J)</f>
        <v>0</v>
      </c>
      <c r="AD28" s="3">
        <f>_xlfn.XLOOKUP(Table219[[#This Row],[SAPSA Number]],'SA Std Rifle'!B:B,'SA Std Rifle'!J:J)</f>
        <v>0</v>
      </c>
      <c r="AE28" s="3">
        <f>_xlfn.XLOOKUP(Table219[[#This Row],[SAPSA Number]],'STD Mini Rifle'!B:B,'STD Mini Rifle'!J:J)</f>
        <v>0</v>
      </c>
      <c r="AF28" s="3">
        <f>_xlfn.XLOOKUP(Table219[[#This Row],[SAPSA Number]],'Open Mini Rifle'!B:B,'Open Mini Rifle'!J:J)</f>
        <v>0</v>
      </c>
      <c r="AG28" s="3">
        <f>_xlfn.XLOOKUP(Table219[[#This Row],[SAPSA Number]],'SA OPEN Shotgun'!B:B,'SA OPEN Shotgun'!J:J)</f>
        <v>0</v>
      </c>
      <c r="AH28" s="3">
        <f>_xlfn.XLOOKUP(Table219[[#This Row],[SAPSA Number]],'SA STD Shotgun'!B:B,'SA STD Shotgun'!J:J)</f>
        <v>0</v>
      </c>
      <c r="AI28" s="3">
        <f>_xlfn.XLOOKUP(Table219[[#This Row],[SAPSA Number]],'MAN STD Shotgun'!B:B,'MAN STD Shotgun'!J:J)</f>
        <v>0</v>
      </c>
      <c r="AJ28" s="4">
        <f>_xlfn.XLOOKUP(Table219[[#This Row],[SAPSA Number]],'MODIFIED Shotgun'!B:B,'MODIFIED Shotgun'!J:J)</f>
        <v>0</v>
      </c>
    </row>
    <row r="29" spans="1:36" x14ac:dyDescent="0.3">
      <c r="A29" s="2">
        <v>2651</v>
      </c>
      <c r="B29" s="2" t="str">
        <f>_xlfn.XLOOKUP(Table219[[#This Row],[SAPSA Number]],Table1[SAPSA number],Table1[Paid up])</f>
        <v>Y</v>
      </c>
      <c r="C29" s="5" t="s">
        <v>133</v>
      </c>
      <c r="D29" s="5" t="s">
        <v>134</v>
      </c>
      <c r="E29" s="58" t="s">
        <v>135</v>
      </c>
      <c r="F29" s="72" t="str">
        <f ca="1">_xlfn.XLOOKUP(Table219[[#This Row],[SAPSA Number]],Table1[SAPSA number],Table1[Gender])</f>
        <v>S</v>
      </c>
      <c r="G29" s="2">
        <f ca="1">_xlfn.XLOOKUP(Table219[[#This Row],[SAPSA Number]],Table1[SAPSA number],Table1[Age])</f>
        <v>51</v>
      </c>
      <c r="H29" s="3">
        <v>2</v>
      </c>
      <c r="I29" s="3">
        <f>SUM(Table219[[#This Row],[Club Points]:[League Points Earned - Dec]])</f>
        <v>15</v>
      </c>
      <c r="J2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14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>
        <v>1</v>
      </c>
      <c r="V29" s="3"/>
      <c r="W29" s="3">
        <f>_xlfn.XLOOKUP(Table219[[#This Row],[SAPSA Number]],'STD Handgun'!B:B,'STD Handgun'!J:J)</f>
        <v>0</v>
      </c>
      <c r="X29" s="3">
        <f>_xlfn.XLOOKUP(Table219[[#This Row],[SAPSA Number]],'PROD OPTICS Handgun'!B:B,'PROD OPTICS Handgun'!J:J)</f>
        <v>5</v>
      </c>
      <c r="Y29" s="3">
        <f>_xlfn.XLOOKUP(Table219[[#This Row],[SAPSA Number]],'PROD Handgun'!B:B,'PROD Handgun'!J:J)</f>
        <v>0</v>
      </c>
      <c r="Z29" s="3">
        <f>_xlfn.XLOOKUP(Table219[[#This Row],[SAPSA Number]],'OPEN Handgun'!B:B,'OPEN Handgun'!J:J)</f>
        <v>2</v>
      </c>
      <c r="AA29" s="3">
        <f>_xlfn.XLOOKUP(Table219[[#This Row],[SAPSA Number]],'CLASSIC Handgun'!B:B,'CLASSIC Handgun'!J:J)</f>
        <v>0</v>
      </c>
      <c r="AB29" s="3">
        <f>_xlfn.XLOOKUP(Table219[[#This Row],[SAPSA Number]],PCC!B:B,PCC!J:J)</f>
        <v>0</v>
      </c>
      <c r="AC29" s="3">
        <f>_xlfn.XLOOKUP(Table219[[#This Row],[SAPSA Number]],'SAOpen Rifle'!B:B,'SAOpen Rifle'!J:J)</f>
        <v>6</v>
      </c>
      <c r="AD29" s="3">
        <f>_xlfn.XLOOKUP(Table219[[#This Row],[SAPSA Number]],'SA Std Rifle'!B:B,'SA Std Rifle'!J:J)</f>
        <v>0</v>
      </c>
      <c r="AE29" s="3">
        <f>_xlfn.XLOOKUP(Table219[[#This Row],[SAPSA Number]],'STD Mini Rifle'!B:B,'STD Mini Rifle'!J:J)</f>
        <v>0</v>
      </c>
      <c r="AF29" s="3">
        <f>_xlfn.XLOOKUP(Table219[[#This Row],[SAPSA Number]],'Open Mini Rifle'!B:B,'Open Mini Rifle'!J:J)</f>
        <v>0</v>
      </c>
      <c r="AG29" s="3">
        <f>_xlfn.XLOOKUP(Table219[[#This Row],[SAPSA Number]],'SA OPEN Shotgun'!B:B,'SA OPEN Shotgun'!J:J)</f>
        <v>0</v>
      </c>
      <c r="AH29" s="3">
        <f>_xlfn.XLOOKUP(Table219[[#This Row],[SAPSA Number]],'SA STD Shotgun'!B:B,'SA STD Shotgun'!J:J)</f>
        <v>1</v>
      </c>
      <c r="AI29" s="3">
        <f>_xlfn.XLOOKUP(Table219[[#This Row],[SAPSA Number]],'MAN STD Shotgun'!B:B,'MAN STD Shotgun'!J:J)</f>
        <v>0</v>
      </c>
      <c r="AJ29" s="4">
        <f>_xlfn.XLOOKUP(Table219[[#This Row],[SAPSA Number]],'MODIFIED Shotgun'!B:B,'MODIFIED Shotgun'!J:J)</f>
        <v>0</v>
      </c>
    </row>
    <row r="30" spans="1:36" x14ac:dyDescent="0.3">
      <c r="A30" s="2">
        <v>2655</v>
      </c>
      <c r="B30" s="2" t="str">
        <f>_xlfn.XLOOKUP(Table219[[#This Row],[SAPSA Number]],Table1[SAPSA number],Table1[Paid up])</f>
        <v>Y</v>
      </c>
      <c r="C30" s="5" t="s">
        <v>152</v>
      </c>
      <c r="D30" s="5" t="s">
        <v>93</v>
      </c>
      <c r="E30" s="3" t="s">
        <v>151</v>
      </c>
      <c r="F30" s="73" t="str">
        <f ca="1">_xlfn.XLOOKUP(Table219[[#This Row],[SAPSA Number]],Table1[SAPSA number],Table1[Gender])</f>
        <v>Jnr</v>
      </c>
      <c r="G30" s="3">
        <f ca="1">_xlfn.XLOOKUP(Table219[[#This Row],[SAPSA Number]],Table1[SAPSA number],Table1[Age])</f>
        <v>18</v>
      </c>
      <c r="H30" s="3">
        <v>0</v>
      </c>
      <c r="I30" s="3">
        <f>SUM(Table219[[#This Row],[Club Points]:[League Points Earned - Dec]])</f>
        <v>0</v>
      </c>
      <c r="J3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>
        <f>_xlfn.XLOOKUP(Table219[[#This Row],[SAPSA Number]],'STD Handgun'!B:B,'STD Handgun'!J:J)</f>
        <v>0</v>
      </c>
      <c r="X30" s="3">
        <f>_xlfn.XLOOKUP(Table219[[#This Row],[SAPSA Number]],'PROD OPTICS Handgun'!B:B,'PROD OPTICS Handgun'!J:J)</f>
        <v>0</v>
      </c>
      <c r="Y30" s="3">
        <f>_xlfn.XLOOKUP(Table219[[#This Row],[SAPSA Number]],'PROD Handgun'!B:B,'PROD Handgun'!J:J)</f>
        <v>0</v>
      </c>
      <c r="Z30" s="3">
        <f>_xlfn.XLOOKUP(Table219[[#This Row],[SAPSA Number]],'OPEN Handgun'!B:B,'OPEN Handgun'!J:J)</f>
        <v>0</v>
      </c>
      <c r="AA30" s="3">
        <f>_xlfn.XLOOKUP(Table219[[#This Row],[SAPSA Number]],'CLASSIC Handgun'!B:B,'CLASSIC Handgun'!J:J)</f>
        <v>0</v>
      </c>
      <c r="AB30" s="3">
        <f>_xlfn.XLOOKUP(Table219[[#This Row],[SAPSA Number]],PCC!B:B,PCC!J:J)</f>
        <v>0</v>
      </c>
      <c r="AC30" s="3">
        <f>_xlfn.XLOOKUP(Table219[[#This Row],[SAPSA Number]],'SAOpen Rifle'!B:B,'SAOpen Rifle'!J:J)</f>
        <v>0</v>
      </c>
      <c r="AD30" s="3">
        <f>_xlfn.XLOOKUP(Table219[[#This Row],[SAPSA Number]],'SA Std Rifle'!B:B,'SA Std Rifle'!J:J)</f>
        <v>0</v>
      </c>
      <c r="AE30" s="3">
        <f>_xlfn.XLOOKUP(Table219[[#This Row],[SAPSA Number]],'STD Mini Rifle'!B:B,'STD Mini Rifle'!J:J)</f>
        <v>0</v>
      </c>
      <c r="AF30" s="3">
        <f>_xlfn.XLOOKUP(Table219[[#This Row],[SAPSA Number]],'Open Mini Rifle'!B:B,'Open Mini Rifle'!J:J)</f>
        <v>0</v>
      </c>
      <c r="AG30" s="3">
        <f>_xlfn.XLOOKUP(Table219[[#This Row],[SAPSA Number]],'SA OPEN Shotgun'!B:B,'SA OPEN Shotgun'!J:J)</f>
        <v>0</v>
      </c>
      <c r="AH30" s="3">
        <f>_xlfn.XLOOKUP(Table219[[#This Row],[SAPSA Number]],'SA STD Shotgun'!B:B,'SA STD Shotgun'!J:J)</f>
        <v>0</v>
      </c>
      <c r="AI30" s="3">
        <f>_xlfn.XLOOKUP(Table219[[#This Row],[SAPSA Number]],'MAN STD Shotgun'!B:B,'MAN STD Shotgun'!J:J)</f>
        <v>0</v>
      </c>
      <c r="AJ30" s="4">
        <f>_xlfn.XLOOKUP(Table219[[#This Row],[SAPSA Number]],'MODIFIED Shotgun'!B:B,'MODIFIED Shotgun'!J:J)</f>
        <v>0</v>
      </c>
    </row>
    <row r="31" spans="1:36" x14ac:dyDescent="0.3">
      <c r="A31" s="2">
        <v>2950</v>
      </c>
      <c r="B31" s="2" t="s">
        <v>473</v>
      </c>
      <c r="C31" s="5" t="s">
        <v>141</v>
      </c>
      <c r="D31" s="5" t="s">
        <v>104</v>
      </c>
      <c r="E31" s="3" t="s">
        <v>142</v>
      </c>
      <c r="F31" s="73" t="str">
        <f ca="1">_xlfn.XLOOKUP(Table219[[#This Row],[SAPSA Number]],Table1[SAPSA number],Table1[Gender])</f>
        <v xml:space="preserve"> </v>
      </c>
      <c r="G31" s="3">
        <f ca="1">_xlfn.XLOOKUP(Table219[[#This Row],[SAPSA Number]],Table1[SAPSA number],Table1[Age])</f>
        <v>46</v>
      </c>
      <c r="H31" s="3">
        <v>2</v>
      </c>
      <c r="I31" s="3">
        <f>SUM(Table219[[#This Row],[Club Points]:[League Points Earned - Dec]])</f>
        <v>4</v>
      </c>
      <c r="J3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31" s="3">
        <v>2</v>
      </c>
      <c r="L31" s="3"/>
      <c r="M31" s="3"/>
      <c r="N31" s="3"/>
      <c r="O31" s="3"/>
      <c r="P31" s="3"/>
      <c r="Q31" s="3"/>
      <c r="R31" s="3"/>
      <c r="S31" s="3">
        <v>2</v>
      </c>
      <c r="T31" s="3"/>
      <c r="U31" s="3"/>
      <c r="V31" s="3"/>
      <c r="W31" s="3">
        <f>_xlfn.XLOOKUP(Table219[[#This Row],[SAPSA Number]],'STD Handgun'!B:B,'STD Handgun'!J:J)</f>
        <v>0</v>
      </c>
      <c r="X31" s="3">
        <f>_xlfn.XLOOKUP(Table219[[#This Row],[SAPSA Number]],'PROD OPTICS Handgun'!B:B,'PROD OPTICS Handgun'!J:J)</f>
        <v>0</v>
      </c>
      <c r="Y31" s="3">
        <f>_xlfn.XLOOKUP(Table219[[#This Row],[SAPSA Number]],'PROD Handgun'!B:B,'PROD Handgun'!J:J)</f>
        <v>0</v>
      </c>
      <c r="Z31" s="3">
        <f>_xlfn.XLOOKUP(Table219[[#This Row],[SAPSA Number]],'OPEN Handgun'!B:B,'OPEN Handgun'!J:J)</f>
        <v>0</v>
      </c>
      <c r="AA31" s="3">
        <f>_xlfn.XLOOKUP(Table219[[#This Row],[SAPSA Number]],'CLASSIC Handgun'!B:B,'CLASSIC Handgun'!J:J)</f>
        <v>0</v>
      </c>
      <c r="AB31" s="3">
        <f>_xlfn.XLOOKUP(Table219[[#This Row],[SAPSA Number]],PCC!B:B,PCC!J:J)</f>
        <v>0</v>
      </c>
      <c r="AC31" s="3">
        <f>_xlfn.XLOOKUP(Table219[[#This Row],[SAPSA Number]],'SAOpen Rifle'!B:B,'SAOpen Rifle'!J:J)</f>
        <v>0</v>
      </c>
      <c r="AD31" s="3">
        <f>_xlfn.XLOOKUP(Table219[[#This Row],[SAPSA Number]],'SA Std Rifle'!B:B,'SA Std Rifle'!J:J)</f>
        <v>0</v>
      </c>
      <c r="AE31" s="3">
        <f>_xlfn.XLOOKUP(Table219[[#This Row],[SAPSA Number]],'STD Mini Rifle'!B:B,'STD Mini Rifle'!J:J)</f>
        <v>0</v>
      </c>
      <c r="AF31" s="3">
        <f>_xlfn.XLOOKUP(Table219[[#This Row],[SAPSA Number]],'Open Mini Rifle'!B:B,'Open Mini Rifle'!J:J)</f>
        <v>0</v>
      </c>
      <c r="AG31" s="3">
        <f>_xlfn.XLOOKUP(Table219[[#This Row],[SAPSA Number]],'SA OPEN Shotgun'!B:B,'SA OPEN Shotgun'!J:J)</f>
        <v>0</v>
      </c>
      <c r="AH31" s="3">
        <f>_xlfn.XLOOKUP(Table219[[#This Row],[SAPSA Number]],'SA STD Shotgun'!B:B,'SA STD Shotgun'!J:J)</f>
        <v>0</v>
      </c>
      <c r="AI31" s="3">
        <f>_xlfn.XLOOKUP(Table219[[#This Row],[SAPSA Number]],'MAN STD Shotgun'!B:B,'MAN STD Shotgun'!J:J)</f>
        <v>0</v>
      </c>
      <c r="AJ31" s="4">
        <f>_xlfn.XLOOKUP(Table219[[#This Row],[SAPSA Number]],'MODIFIED Shotgun'!B:B,'MODIFIED Shotgun'!J:J)</f>
        <v>0</v>
      </c>
    </row>
    <row r="32" spans="1:36" x14ac:dyDescent="0.3">
      <c r="A32" s="2">
        <v>3172</v>
      </c>
      <c r="B32" s="2" t="str">
        <f>_xlfn.XLOOKUP(Table219[[#This Row],[SAPSA Number]],Table1[SAPSA number],Table1[Paid up])</f>
        <v>Y</v>
      </c>
      <c r="C32" s="5" t="s">
        <v>120</v>
      </c>
      <c r="D32" s="5" t="s">
        <v>79</v>
      </c>
      <c r="E32" s="3" t="s">
        <v>121</v>
      </c>
      <c r="F32" s="73" t="str">
        <f ca="1">_xlfn.XLOOKUP(Table219[[#This Row],[SAPSA Number]],Table1[SAPSA number],Table1[Gender])</f>
        <v>SS</v>
      </c>
      <c r="G32" s="3">
        <f ca="1">_xlfn.XLOOKUP(Table219[[#This Row],[SAPSA Number]],Table1[SAPSA number],Table1[Age])</f>
        <v>66</v>
      </c>
      <c r="H32" s="81" t="s">
        <v>277</v>
      </c>
      <c r="I32" s="3">
        <f>SUM(Table219[[#This Row],[Club Points]:[League Points Earned - Dec]])</f>
        <v>18</v>
      </c>
      <c r="J3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15</v>
      </c>
      <c r="K32" s="3"/>
      <c r="L32" s="3"/>
      <c r="M32" s="3"/>
      <c r="N32" s="3"/>
      <c r="O32" s="3"/>
      <c r="P32" s="3"/>
      <c r="Q32" s="3">
        <v>2</v>
      </c>
      <c r="R32" s="3"/>
      <c r="S32" s="3"/>
      <c r="T32" s="3"/>
      <c r="U32" s="3">
        <v>1</v>
      </c>
      <c r="V32" s="3"/>
      <c r="W32" s="3">
        <f>_xlfn.XLOOKUP(Table219[[#This Row],[SAPSA Number]],'STD Handgun'!B:B,'STD Handgun'!J:J)</f>
        <v>8</v>
      </c>
      <c r="X32" s="3">
        <f>_xlfn.XLOOKUP(Table219[[#This Row],[SAPSA Number]],'PROD OPTICS Handgun'!B:B,'PROD OPTICS Handgun'!J:J)</f>
        <v>0</v>
      </c>
      <c r="Y32" s="3">
        <f>_xlfn.XLOOKUP(Table219[[#This Row],[SAPSA Number]],'PROD Handgun'!B:B,'PROD Handgun'!J:J)</f>
        <v>0</v>
      </c>
      <c r="Z32" s="3">
        <f>_xlfn.XLOOKUP(Table219[[#This Row],[SAPSA Number]],'OPEN Handgun'!B:B,'OPEN Handgun'!J:J)</f>
        <v>0</v>
      </c>
      <c r="AA32" s="3">
        <f>_xlfn.XLOOKUP(Table219[[#This Row],[SAPSA Number]],'CLASSIC Handgun'!B:B,'CLASSIC Handgun'!J:J)</f>
        <v>0</v>
      </c>
      <c r="AB32" s="3">
        <f>_xlfn.XLOOKUP(Table219[[#This Row],[SAPSA Number]],PCC!B:B,PCC!J:J)</f>
        <v>0</v>
      </c>
      <c r="AC32" s="3">
        <f>_xlfn.XLOOKUP(Table219[[#This Row],[SAPSA Number]],'SAOpen Rifle'!B:B,'SAOpen Rifle'!J:J)</f>
        <v>2</v>
      </c>
      <c r="AD32" s="3">
        <f>_xlfn.XLOOKUP(Table219[[#This Row],[SAPSA Number]],'SA Std Rifle'!B:B,'SA Std Rifle'!J:J)</f>
        <v>0</v>
      </c>
      <c r="AE32" s="3">
        <f>_xlfn.XLOOKUP(Table219[[#This Row],[SAPSA Number]],'STD Mini Rifle'!B:B,'STD Mini Rifle'!J:J)</f>
        <v>0</v>
      </c>
      <c r="AF32" s="3">
        <f>_xlfn.XLOOKUP(Table219[[#This Row],[SAPSA Number]],'Open Mini Rifle'!B:B,'Open Mini Rifle'!J:J)</f>
        <v>0</v>
      </c>
      <c r="AG32" s="3">
        <f>_xlfn.XLOOKUP(Table219[[#This Row],[SAPSA Number]],'SA OPEN Shotgun'!B:B,'SA OPEN Shotgun'!J:J)</f>
        <v>0</v>
      </c>
      <c r="AH32" s="3">
        <f>_xlfn.XLOOKUP(Table219[[#This Row],[SAPSA Number]],'SA STD Shotgun'!B:B,'SA STD Shotgun'!J:J)</f>
        <v>5</v>
      </c>
      <c r="AI32" s="3">
        <f>_xlfn.XLOOKUP(Table219[[#This Row],[SAPSA Number]],'MAN STD Shotgun'!B:B,'MAN STD Shotgun'!J:J)</f>
        <v>0</v>
      </c>
      <c r="AJ32" s="4">
        <f>_xlfn.XLOOKUP(Table219[[#This Row],[SAPSA Number]],'MODIFIED Shotgun'!B:B,'MODIFIED Shotgun'!J:J)</f>
        <v>0</v>
      </c>
    </row>
    <row r="33" spans="1:36" x14ac:dyDescent="0.3">
      <c r="A33" s="2">
        <v>3173</v>
      </c>
      <c r="B33" s="2" t="str">
        <f>_xlfn.XLOOKUP(Table219[[#This Row],[SAPSA Number]],Table1[SAPSA number],Table1[Paid up])</f>
        <v>Y</v>
      </c>
      <c r="C33" s="5" t="s">
        <v>78</v>
      </c>
      <c r="D33" s="5" t="s">
        <v>79</v>
      </c>
      <c r="E33" s="3" t="s">
        <v>80</v>
      </c>
      <c r="F33" s="73" t="str">
        <f ca="1">_xlfn.XLOOKUP(Table219[[#This Row],[SAPSA Number]],Table1[SAPSA number],Table1[Gender])</f>
        <v xml:space="preserve"> </v>
      </c>
      <c r="G33" s="3">
        <f ca="1">_xlfn.XLOOKUP(Table219[[#This Row],[SAPSA Number]],Table1[SAPSA number],Table1[Age])</f>
        <v>32</v>
      </c>
      <c r="H33" s="81" t="s">
        <v>277</v>
      </c>
      <c r="I33" s="3">
        <f>SUM(Table219[[#This Row],[Club Points]:[League Points Earned - Dec]])</f>
        <v>9</v>
      </c>
      <c r="J3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33" s="3"/>
      <c r="L33" s="3">
        <v>3</v>
      </c>
      <c r="M33" s="3"/>
      <c r="N33" s="3"/>
      <c r="O33" s="3">
        <v>2</v>
      </c>
      <c r="P33" s="3"/>
      <c r="Q33" s="3"/>
      <c r="R33" s="3"/>
      <c r="S33" s="3"/>
      <c r="T33" s="3">
        <v>4</v>
      </c>
      <c r="U33" s="3"/>
      <c r="V33" s="3"/>
      <c r="W33" s="3">
        <f>_xlfn.XLOOKUP(Table219[[#This Row],[SAPSA Number]],'STD Handgun'!B:B,'STD Handgun'!J:J)</f>
        <v>0</v>
      </c>
      <c r="X33" s="3">
        <f>_xlfn.XLOOKUP(Table219[[#This Row],[SAPSA Number]],'PROD OPTICS Handgun'!B:B,'PROD OPTICS Handgun'!J:J)</f>
        <v>0</v>
      </c>
      <c r="Y33" s="3">
        <f>_xlfn.XLOOKUP(Table219[[#This Row],[SAPSA Number]],'PROD Handgun'!B:B,'PROD Handgun'!J:J)</f>
        <v>0</v>
      </c>
      <c r="Z33" s="3">
        <f>_xlfn.XLOOKUP(Table219[[#This Row],[SAPSA Number]],'OPEN Handgun'!B:B,'OPEN Handgun'!J:J)</f>
        <v>0</v>
      </c>
      <c r="AA33" s="3">
        <f>_xlfn.XLOOKUP(Table219[[#This Row],[SAPSA Number]],'CLASSIC Handgun'!B:B,'CLASSIC Handgun'!J:J)</f>
        <v>0</v>
      </c>
      <c r="AB33" s="3">
        <f>_xlfn.XLOOKUP(Table219[[#This Row],[SAPSA Number]],PCC!B:B,PCC!J:J)</f>
        <v>0</v>
      </c>
      <c r="AC33" s="3">
        <f>_xlfn.XLOOKUP(Table219[[#This Row],[SAPSA Number]],'SAOpen Rifle'!B:B,'SAOpen Rifle'!J:J)</f>
        <v>0</v>
      </c>
      <c r="AD33" s="3">
        <f>_xlfn.XLOOKUP(Table219[[#This Row],[SAPSA Number]],'SA Std Rifle'!B:B,'SA Std Rifle'!J:J)</f>
        <v>0</v>
      </c>
      <c r="AE33" s="3">
        <f>_xlfn.XLOOKUP(Table219[[#This Row],[SAPSA Number]],'STD Mini Rifle'!B:B,'STD Mini Rifle'!J:J)</f>
        <v>0</v>
      </c>
      <c r="AF33" s="3">
        <f>_xlfn.XLOOKUP(Table219[[#This Row],[SAPSA Number]],'Open Mini Rifle'!B:B,'Open Mini Rifle'!J:J)</f>
        <v>0</v>
      </c>
      <c r="AG33" s="3">
        <f>_xlfn.XLOOKUP(Table219[[#This Row],[SAPSA Number]],'SA OPEN Shotgun'!B:B,'SA OPEN Shotgun'!J:J)</f>
        <v>0</v>
      </c>
      <c r="AH33" s="3">
        <f>_xlfn.XLOOKUP(Table219[[#This Row],[SAPSA Number]],'SA STD Shotgun'!B:B,'SA STD Shotgun'!J:J)</f>
        <v>0</v>
      </c>
      <c r="AI33" s="3">
        <f>_xlfn.XLOOKUP(Table219[[#This Row],[SAPSA Number]],'MAN STD Shotgun'!B:B,'MAN STD Shotgun'!J:J)</f>
        <v>0</v>
      </c>
      <c r="AJ33" s="4">
        <f>_xlfn.XLOOKUP(Table219[[#This Row],[SAPSA Number]],'MODIFIED Shotgun'!B:B,'MODIFIED Shotgun'!J:J)</f>
        <v>0</v>
      </c>
    </row>
    <row r="34" spans="1:36" x14ac:dyDescent="0.3">
      <c r="A34" s="2">
        <v>3338</v>
      </c>
      <c r="B34" s="2" t="s">
        <v>473</v>
      </c>
      <c r="C34" s="5" t="s">
        <v>25</v>
      </c>
      <c r="D34" s="5" t="s">
        <v>26</v>
      </c>
      <c r="E34" s="3" t="s">
        <v>27</v>
      </c>
      <c r="F34" s="73" t="str">
        <f ca="1">_xlfn.XLOOKUP(Table219[[#This Row],[SAPSA Number]],Table1[SAPSA number],Table1[Gender])</f>
        <v>S</v>
      </c>
      <c r="G34" s="3">
        <f ca="1">_xlfn.XLOOKUP(Table219[[#This Row],[SAPSA Number]],Table1[SAPSA number],Table1[Age])</f>
        <v>54</v>
      </c>
      <c r="H34" s="3">
        <v>2</v>
      </c>
      <c r="I34" s="3">
        <f>SUM(Table219[[#This Row],[Club Points]:[League Points Earned - Dec]])</f>
        <v>9</v>
      </c>
      <c r="J3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</v>
      </c>
      <c r="K34" s="3">
        <v>2</v>
      </c>
      <c r="L34" s="3">
        <v>2</v>
      </c>
      <c r="M34" s="3">
        <v>2</v>
      </c>
      <c r="N34" s="3">
        <v>2</v>
      </c>
      <c r="O34" s="3"/>
      <c r="P34" s="3"/>
      <c r="Q34" s="3"/>
      <c r="R34" s="3"/>
      <c r="S34" s="3"/>
      <c r="T34" s="3"/>
      <c r="U34" s="3"/>
      <c r="V34" s="3"/>
      <c r="W34" s="3">
        <f>_xlfn.XLOOKUP(Table219[[#This Row],[SAPSA Number]],'STD Handgun'!B:B,'STD Handgun'!J:J)</f>
        <v>0</v>
      </c>
      <c r="X34" s="3">
        <f>_xlfn.XLOOKUP(Table219[[#This Row],[SAPSA Number]],'PROD OPTICS Handgun'!B:B,'PROD OPTICS Handgun'!J:J)</f>
        <v>0</v>
      </c>
      <c r="Y34" s="3">
        <f>_xlfn.XLOOKUP(Table219[[#This Row],[SAPSA Number]],'PROD Handgun'!B:B,'PROD Handgun'!J:J)</f>
        <v>0</v>
      </c>
      <c r="Z34" s="3">
        <f>_xlfn.XLOOKUP(Table219[[#This Row],[SAPSA Number]],'OPEN Handgun'!B:B,'OPEN Handgun'!J:J)</f>
        <v>0</v>
      </c>
      <c r="AA34" s="3">
        <f>_xlfn.XLOOKUP(Table219[[#This Row],[SAPSA Number]],'CLASSIC Handgun'!B:B,'CLASSIC Handgun'!J:J)</f>
        <v>0</v>
      </c>
      <c r="AB34" s="3">
        <f>_xlfn.XLOOKUP(Table219[[#This Row],[SAPSA Number]],PCC!B:B,PCC!J:J)</f>
        <v>1</v>
      </c>
      <c r="AC34" s="3">
        <f>_xlfn.XLOOKUP(Table219[[#This Row],[SAPSA Number]],'SAOpen Rifle'!B:B,'SAOpen Rifle'!J:J)</f>
        <v>0</v>
      </c>
      <c r="AD34" s="3">
        <f>_xlfn.XLOOKUP(Table219[[#This Row],[SAPSA Number]],'SA Std Rifle'!B:B,'SA Std Rifle'!J:J)</f>
        <v>0</v>
      </c>
      <c r="AE34" s="3">
        <f>_xlfn.XLOOKUP(Table219[[#This Row],[SAPSA Number]],'STD Mini Rifle'!B:B,'STD Mini Rifle'!J:J)</f>
        <v>0</v>
      </c>
      <c r="AF34" s="3">
        <f>_xlfn.XLOOKUP(Table219[[#This Row],[SAPSA Number]],'Open Mini Rifle'!B:B,'Open Mini Rifle'!J:J)</f>
        <v>0</v>
      </c>
      <c r="AG34" s="3">
        <f>_xlfn.XLOOKUP(Table219[[#This Row],[SAPSA Number]],'SA OPEN Shotgun'!B:B,'SA OPEN Shotgun'!J:J)</f>
        <v>0</v>
      </c>
      <c r="AH34" s="3">
        <f>_xlfn.XLOOKUP(Table219[[#This Row],[SAPSA Number]],'SA STD Shotgun'!B:B,'SA STD Shotgun'!J:J)</f>
        <v>0</v>
      </c>
      <c r="AI34" s="3">
        <f>_xlfn.XLOOKUP(Table219[[#This Row],[SAPSA Number]],'MAN STD Shotgun'!B:B,'MAN STD Shotgun'!J:J)</f>
        <v>0</v>
      </c>
      <c r="AJ34" s="4">
        <f>_xlfn.XLOOKUP(Table219[[#This Row],[SAPSA Number]],'MODIFIED Shotgun'!B:B,'MODIFIED Shotgun'!J:J)</f>
        <v>0</v>
      </c>
    </row>
    <row r="35" spans="1:36" x14ac:dyDescent="0.3">
      <c r="A35" s="2">
        <v>3339</v>
      </c>
      <c r="B35" s="2" t="str">
        <f>_xlfn.XLOOKUP(Table219[[#This Row],[SAPSA Number]],Table1[SAPSA number],Table1[Paid up])</f>
        <v>Y</v>
      </c>
      <c r="C35" s="5" t="s">
        <v>92</v>
      </c>
      <c r="D35" s="5" t="s">
        <v>93</v>
      </c>
      <c r="E35" s="3" t="s">
        <v>94</v>
      </c>
      <c r="F35" s="73" t="str">
        <f ca="1">_xlfn.XLOOKUP(Table219[[#This Row],[SAPSA Number]],Table1[SAPSA number],Table1[Gender])</f>
        <v>S</v>
      </c>
      <c r="G35" s="3">
        <f ca="1">_xlfn.XLOOKUP(Table219[[#This Row],[SAPSA Number]],Table1[SAPSA number],Table1[Age])</f>
        <v>52</v>
      </c>
      <c r="H35" s="3">
        <v>0</v>
      </c>
      <c r="I35" s="3">
        <f>SUM(Table219[[#This Row],[Club Points]:[League Points Earned - Dec]])</f>
        <v>7</v>
      </c>
      <c r="J3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6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>
        <v>1</v>
      </c>
      <c r="V35" s="3"/>
      <c r="W35" s="3">
        <f>_xlfn.XLOOKUP(Table219[[#This Row],[SAPSA Number]],'STD Handgun'!B:B,'STD Handgun'!J:J)</f>
        <v>0</v>
      </c>
      <c r="X35" s="3">
        <f>_xlfn.XLOOKUP(Table219[[#This Row],[SAPSA Number]],'PROD OPTICS Handgun'!B:B,'PROD OPTICS Handgun'!J:J)</f>
        <v>0</v>
      </c>
      <c r="Y35" s="3">
        <f>_xlfn.XLOOKUP(Table219[[#This Row],[SAPSA Number]],'PROD Handgun'!B:B,'PROD Handgun'!J:J)</f>
        <v>3</v>
      </c>
      <c r="Z35" s="3">
        <f>_xlfn.XLOOKUP(Table219[[#This Row],[SAPSA Number]],'OPEN Handgun'!B:B,'OPEN Handgun'!J:J)</f>
        <v>0</v>
      </c>
      <c r="AA35" s="3">
        <f>_xlfn.XLOOKUP(Table219[[#This Row],[SAPSA Number]],'CLASSIC Handgun'!B:B,'CLASSIC Handgun'!J:J)</f>
        <v>0</v>
      </c>
      <c r="AB35" s="3">
        <f>_xlfn.XLOOKUP(Table219[[#This Row],[SAPSA Number]],PCC!B:B,PCC!J:J)</f>
        <v>0</v>
      </c>
      <c r="AC35" s="3">
        <f>_xlfn.XLOOKUP(Table219[[#This Row],[SAPSA Number]],'SAOpen Rifle'!B:B,'SAOpen Rifle'!J:J)</f>
        <v>0</v>
      </c>
      <c r="AD35" s="3">
        <f>_xlfn.XLOOKUP(Table219[[#This Row],[SAPSA Number]],'SA Std Rifle'!B:B,'SA Std Rifle'!J:J)</f>
        <v>0</v>
      </c>
      <c r="AE35" s="3">
        <f>_xlfn.XLOOKUP(Table219[[#This Row],[SAPSA Number]],'STD Mini Rifle'!B:B,'STD Mini Rifle'!J:J)</f>
        <v>0</v>
      </c>
      <c r="AF35" s="3">
        <f>_xlfn.XLOOKUP(Table219[[#This Row],[SAPSA Number]],'Open Mini Rifle'!B:B,'Open Mini Rifle'!J:J)</f>
        <v>2</v>
      </c>
      <c r="AG35" s="3">
        <f>_xlfn.XLOOKUP(Table219[[#This Row],[SAPSA Number]],'SA OPEN Shotgun'!B:B,'SA OPEN Shotgun'!J:J)</f>
        <v>0</v>
      </c>
      <c r="AH35" s="3">
        <f>_xlfn.XLOOKUP(Table219[[#This Row],[SAPSA Number]],'SA STD Shotgun'!B:B,'SA STD Shotgun'!J:J)</f>
        <v>1</v>
      </c>
      <c r="AI35" s="3">
        <f>_xlfn.XLOOKUP(Table219[[#This Row],[SAPSA Number]],'MAN STD Shotgun'!B:B,'MAN STD Shotgun'!J:J)</f>
        <v>0</v>
      </c>
      <c r="AJ35" s="4">
        <f>_xlfn.XLOOKUP(Table219[[#This Row],[SAPSA Number]],'MODIFIED Shotgun'!B:B,'MODIFIED Shotgun'!J:J)</f>
        <v>0</v>
      </c>
    </row>
    <row r="36" spans="1:36" x14ac:dyDescent="0.3">
      <c r="A36" s="2">
        <v>3349</v>
      </c>
      <c r="B36" s="2" t="s">
        <v>473</v>
      </c>
      <c r="C36" s="5" t="s">
        <v>159</v>
      </c>
      <c r="D36" s="5" t="s">
        <v>160</v>
      </c>
      <c r="E36" s="3" t="s">
        <v>161</v>
      </c>
      <c r="F36" s="71" t="str">
        <f ca="1">_xlfn.XLOOKUP(Table219[[#This Row],[SAPSA Number]],Table1[SAPSA number],Table1[Gender])</f>
        <v>S</v>
      </c>
      <c r="G36" s="3">
        <f ca="1">_xlfn.XLOOKUP(Table219[[#This Row],[SAPSA Number]],Table1[SAPSA number],Table1[Age])</f>
        <v>53</v>
      </c>
      <c r="H36" s="3">
        <v>1</v>
      </c>
      <c r="I36" s="3">
        <f>SUM(Table219[[#This Row],[Club Points]:[League Points Earned - Dec]])</f>
        <v>6</v>
      </c>
      <c r="J3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4</v>
      </c>
      <c r="K36" s="3"/>
      <c r="L36" s="3"/>
      <c r="M36" s="3"/>
      <c r="N36" s="3">
        <v>2</v>
      </c>
      <c r="O36" s="3"/>
      <c r="P36" s="3"/>
      <c r="Q36" s="3"/>
      <c r="R36" s="3"/>
      <c r="S36" s="3"/>
      <c r="T36" s="3"/>
      <c r="U36" s="3"/>
      <c r="V36" s="3"/>
      <c r="W36" s="3">
        <f>_xlfn.XLOOKUP(Table219[[#This Row],[SAPSA Number]],'STD Handgun'!B:B,'STD Handgun'!J:J)</f>
        <v>0</v>
      </c>
      <c r="X36" s="3">
        <f>_xlfn.XLOOKUP(Table219[[#This Row],[SAPSA Number]],'PROD OPTICS Handgun'!B:B,'PROD OPTICS Handgun'!J:J)</f>
        <v>0</v>
      </c>
      <c r="Y36" s="3">
        <f>_xlfn.XLOOKUP(Table219[[#This Row],[SAPSA Number]],'PROD Handgun'!B:B,'PROD Handgun'!J:J)</f>
        <v>0</v>
      </c>
      <c r="Z36" s="3">
        <f>_xlfn.XLOOKUP(Table219[[#This Row],[SAPSA Number]],'OPEN Handgun'!B:B,'OPEN Handgun'!J:J)</f>
        <v>0</v>
      </c>
      <c r="AA36" s="3">
        <f>_xlfn.XLOOKUP(Table219[[#This Row],[SAPSA Number]],'CLASSIC Handgun'!B:B,'CLASSIC Handgun'!J:J)</f>
        <v>0</v>
      </c>
      <c r="AB36" s="3">
        <f>_xlfn.XLOOKUP(Table219[[#This Row],[SAPSA Number]],PCC!B:B,PCC!J:J)</f>
        <v>0</v>
      </c>
      <c r="AC36" s="3">
        <f>_xlfn.XLOOKUP(Table219[[#This Row],[SAPSA Number]],'SAOpen Rifle'!B:B,'SAOpen Rifle'!J:J)</f>
        <v>4</v>
      </c>
      <c r="AD36" s="3">
        <f>_xlfn.XLOOKUP(Table219[[#This Row],[SAPSA Number]],'SA Std Rifle'!B:B,'SA Std Rifle'!J:J)</f>
        <v>0</v>
      </c>
      <c r="AE36" s="3">
        <f>_xlfn.XLOOKUP(Table219[[#This Row],[SAPSA Number]],'STD Mini Rifle'!B:B,'STD Mini Rifle'!J:J)</f>
        <v>0</v>
      </c>
      <c r="AF36" s="3">
        <f>_xlfn.XLOOKUP(Table219[[#This Row],[SAPSA Number]],'Open Mini Rifle'!B:B,'Open Mini Rifle'!J:J)</f>
        <v>0</v>
      </c>
      <c r="AG36" s="3">
        <f>_xlfn.XLOOKUP(Table219[[#This Row],[SAPSA Number]],'SA OPEN Shotgun'!B:B,'SA OPEN Shotgun'!J:J)</f>
        <v>0</v>
      </c>
      <c r="AH36" s="3">
        <f>_xlfn.XLOOKUP(Table219[[#This Row],[SAPSA Number]],'SA STD Shotgun'!B:B,'SA STD Shotgun'!J:J)</f>
        <v>0</v>
      </c>
      <c r="AI36" s="3">
        <f>_xlfn.XLOOKUP(Table219[[#This Row],[SAPSA Number]],'MAN STD Shotgun'!B:B,'MAN STD Shotgun'!J:J)</f>
        <v>0</v>
      </c>
      <c r="AJ36" s="4">
        <f>_xlfn.XLOOKUP(Table219[[#This Row],[SAPSA Number]],'MODIFIED Shotgun'!B:B,'MODIFIED Shotgun'!J:J)</f>
        <v>0</v>
      </c>
    </row>
    <row r="37" spans="1:36" x14ac:dyDescent="0.3">
      <c r="A37" s="2">
        <v>3350</v>
      </c>
      <c r="B37" s="2" t="s">
        <v>473</v>
      </c>
      <c r="C37" s="5" t="s">
        <v>38</v>
      </c>
      <c r="D37" s="5" t="s">
        <v>26</v>
      </c>
      <c r="E37" s="3" t="s">
        <v>39</v>
      </c>
      <c r="F37" s="73" t="str">
        <f ca="1">_xlfn.XLOOKUP(Table219[[#This Row],[SAPSA Number]],Table1[SAPSA number],Table1[Gender])</f>
        <v>S</v>
      </c>
      <c r="G37" s="3">
        <f ca="1">_xlfn.XLOOKUP(Table219[[#This Row],[SAPSA Number]],Table1[SAPSA number],Table1[Age])</f>
        <v>51</v>
      </c>
      <c r="H37" s="3">
        <v>2</v>
      </c>
      <c r="I37" s="3">
        <f>SUM(Table219[[#This Row],[Club Points]:[League Points Earned - Dec]])</f>
        <v>6</v>
      </c>
      <c r="J3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2</v>
      </c>
      <c r="K37" s="3">
        <v>2</v>
      </c>
      <c r="L37" s="3"/>
      <c r="M37" s="3"/>
      <c r="N37" s="3">
        <v>2</v>
      </c>
      <c r="O37" s="3"/>
      <c r="P37" s="3"/>
      <c r="Q37" s="3"/>
      <c r="R37" s="3"/>
      <c r="S37" s="3"/>
      <c r="T37" s="3"/>
      <c r="U37" s="3"/>
      <c r="V37" s="3"/>
      <c r="W37" s="3">
        <f>_xlfn.XLOOKUP(Table219[[#This Row],[SAPSA Number]],'STD Handgun'!B:B,'STD Handgun'!J:J)</f>
        <v>0</v>
      </c>
      <c r="X37" s="3">
        <f>_xlfn.XLOOKUP(Table219[[#This Row],[SAPSA Number]],'PROD OPTICS Handgun'!B:B,'PROD OPTICS Handgun'!J:J)</f>
        <v>0</v>
      </c>
      <c r="Y37" s="3">
        <f>_xlfn.XLOOKUP(Table219[[#This Row],[SAPSA Number]],'PROD Handgun'!B:B,'PROD Handgun'!J:J)</f>
        <v>0</v>
      </c>
      <c r="Z37" s="3">
        <f>_xlfn.XLOOKUP(Table219[[#This Row],[SAPSA Number]],'OPEN Handgun'!B:B,'OPEN Handgun'!J:J)</f>
        <v>0</v>
      </c>
      <c r="AA37" s="3">
        <f>_xlfn.XLOOKUP(Table219[[#This Row],[SAPSA Number]],'CLASSIC Handgun'!B:B,'CLASSIC Handgun'!J:J)</f>
        <v>0</v>
      </c>
      <c r="AB37" s="3">
        <f>_xlfn.XLOOKUP(Table219[[#This Row],[SAPSA Number]],PCC!B:B,PCC!J:J)</f>
        <v>0</v>
      </c>
      <c r="AC37" s="3">
        <f>_xlfn.XLOOKUP(Table219[[#This Row],[SAPSA Number]],'SAOpen Rifle'!B:B,'SAOpen Rifle'!J:J)</f>
        <v>2</v>
      </c>
      <c r="AD37" s="3">
        <f>_xlfn.XLOOKUP(Table219[[#This Row],[SAPSA Number]],'SA Std Rifle'!B:B,'SA Std Rifle'!J:J)</f>
        <v>0</v>
      </c>
      <c r="AE37" s="3">
        <f>_xlfn.XLOOKUP(Table219[[#This Row],[SAPSA Number]],'STD Mini Rifle'!B:B,'STD Mini Rifle'!J:J)</f>
        <v>0</v>
      </c>
      <c r="AF37" s="3">
        <f>_xlfn.XLOOKUP(Table219[[#This Row],[SAPSA Number]],'Open Mini Rifle'!B:B,'Open Mini Rifle'!J:J)</f>
        <v>0</v>
      </c>
      <c r="AG37" s="3">
        <f>_xlfn.XLOOKUP(Table219[[#This Row],[SAPSA Number]],'SA OPEN Shotgun'!B:B,'SA OPEN Shotgun'!J:J)</f>
        <v>0</v>
      </c>
      <c r="AH37" s="3">
        <f>_xlfn.XLOOKUP(Table219[[#This Row],[SAPSA Number]],'SA STD Shotgun'!B:B,'SA STD Shotgun'!J:J)</f>
        <v>0</v>
      </c>
      <c r="AI37" s="3">
        <f>_xlfn.XLOOKUP(Table219[[#This Row],[SAPSA Number]],'MAN STD Shotgun'!B:B,'MAN STD Shotgun'!J:J)</f>
        <v>0</v>
      </c>
      <c r="AJ37" s="4">
        <f>_xlfn.XLOOKUP(Table219[[#This Row],[SAPSA Number]],'MODIFIED Shotgun'!B:B,'MODIFIED Shotgun'!J:J)</f>
        <v>0</v>
      </c>
    </row>
    <row r="38" spans="1:36" x14ac:dyDescent="0.3">
      <c r="A38" s="2">
        <v>3576</v>
      </c>
      <c r="B38" s="2" t="str">
        <f>_xlfn.XLOOKUP(Table219[[#This Row],[SAPSA Number]],Table1[SAPSA number],Table1[Paid up])</f>
        <v>Y</v>
      </c>
      <c r="C38" s="5" t="s">
        <v>32</v>
      </c>
      <c r="D38" s="5" t="s">
        <v>26</v>
      </c>
      <c r="E38" s="3" t="s">
        <v>33</v>
      </c>
      <c r="F38" s="73" t="str">
        <f ca="1">_xlfn.XLOOKUP(Table219[[#This Row],[SAPSA Number]],Table1[SAPSA number],Table1[Gender])</f>
        <v xml:space="preserve"> </v>
      </c>
      <c r="G38" s="3">
        <f ca="1">_xlfn.XLOOKUP(Table219[[#This Row],[SAPSA Number]],Table1[SAPSA number],Table1[Age])</f>
        <v>47</v>
      </c>
      <c r="H38" s="3">
        <v>2</v>
      </c>
      <c r="I38" s="3">
        <f>SUM(Table219[[#This Row],[Club Points]:[League Points Earned - Dec]])</f>
        <v>7</v>
      </c>
      <c r="J3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</v>
      </c>
      <c r="K38" s="3"/>
      <c r="L38" s="3">
        <v>2</v>
      </c>
      <c r="M38" s="3">
        <v>2</v>
      </c>
      <c r="N38" s="3"/>
      <c r="O38" s="3">
        <v>2</v>
      </c>
      <c r="P38" s="3"/>
      <c r="Q38" s="3"/>
      <c r="R38" s="3"/>
      <c r="S38" s="3"/>
      <c r="T38" s="3"/>
      <c r="U38" s="3"/>
      <c r="V38" s="3"/>
      <c r="W38" s="3">
        <f>_xlfn.XLOOKUP(Table219[[#This Row],[SAPSA Number]],'STD Handgun'!B:B,'STD Handgun'!J:J)</f>
        <v>0</v>
      </c>
      <c r="X38" s="3">
        <f>_xlfn.XLOOKUP(Table219[[#This Row],[SAPSA Number]],'PROD OPTICS Handgun'!B:B,'PROD OPTICS Handgun'!J:J)</f>
        <v>0</v>
      </c>
      <c r="Y38" s="3">
        <f>_xlfn.XLOOKUP(Table219[[#This Row],[SAPSA Number]],'PROD Handgun'!B:B,'PROD Handgun'!J:J)</f>
        <v>0</v>
      </c>
      <c r="Z38" s="3">
        <f>_xlfn.XLOOKUP(Table219[[#This Row],[SAPSA Number]],'OPEN Handgun'!B:B,'OPEN Handgun'!J:J)</f>
        <v>0</v>
      </c>
      <c r="AA38" s="3">
        <f>_xlfn.XLOOKUP(Table219[[#This Row],[SAPSA Number]],'CLASSIC Handgun'!B:B,'CLASSIC Handgun'!J:J)</f>
        <v>0</v>
      </c>
      <c r="AB38" s="3">
        <f>_xlfn.XLOOKUP(Table219[[#This Row],[SAPSA Number]],PCC!B:B,PCC!J:J)</f>
        <v>1</v>
      </c>
      <c r="AC38" s="3">
        <f>_xlfn.XLOOKUP(Table219[[#This Row],[SAPSA Number]],'SAOpen Rifle'!B:B,'SAOpen Rifle'!J:J)</f>
        <v>0</v>
      </c>
      <c r="AD38" s="3">
        <f>_xlfn.XLOOKUP(Table219[[#This Row],[SAPSA Number]],'SA Std Rifle'!B:B,'SA Std Rifle'!J:J)</f>
        <v>0</v>
      </c>
      <c r="AE38" s="3">
        <f>_xlfn.XLOOKUP(Table219[[#This Row],[SAPSA Number]],'STD Mini Rifle'!B:B,'STD Mini Rifle'!J:J)</f>
        <v>0</v>
      </c>
      <c r="AF38" s="3">
        <f>_xlfn.XLOOKUP(Table219[[#This Row],[SAPSA Number]],'Open Mini Rifle'!B:B,'Open Mini Rifle'!J:J)</f>
        <v>0</v>
      </c>
      <c r="AG38" s="3">
        <f>_xlfn.XLOOKUP(Table219[[#This Row],[SAPSA Number]],'SA OPEN Shotgun'!B:B,'SA OPEN Shotgun'!J:J)</f>
        <v>0</v>
      </c>
      <c r="AH38" s="3">
        <f>_xlfn.XLOOKUP(Table219[[#This Row],[SAPSA Number]],'SA STD Shotgun'!B:B,'SA STD Shotgun'!J:J)</f>
        <v>0</v>
      </c>
      <c r="AI38" s="3">
        <f>_xlfn.XLOOKUP(Table219[[#This Row],[SAPSA Number]],'MAN STD Shotgun'!B:B,'MAN STD Shotgun'!J:J)</f>
        <v>0</v>
      </c>
      <c r="AJ38" s="4">
        <f>_xlfn.XLOOKUP(Table219[[#This Row],[SAPSA Number]],'MODIFIED Shotgun'!B:B,'MODIFIED Shotgun'!J:J)</f>
        <v>0</v>
      </c>
    </row>
    <row r="39" spans="1:36" x14ac:dyDescent="0.3">
      <c r="A39" s="2">
        <v>3782</v>
      </c>
      <c r="B39" s="2">
        <f>_xlfn.XLOOKUP(Table219[[#This Row],[SAPSA Number]],Table1[SAPSA number],Table1[Paid up])</f>
        <v>0</v>
      </c>
      <c r="C39" s="5" t="s">
        <v>82</v>
      </c>
      <c r="D39" s="5" t="s">
        <v>83</v>
      </c>
      <c r="E39" s="3" t="s">
        <v>84</v>
      </c>
      <c r="F39" s="73" t="str">
        <f ca="1">_xlfn.XLOOKUP(Table219[[#This Row],[SAPSA Number]],Table1[SAPSA number],Table1[Gender])</f>
        <v>S</v>
      </c>
      <c r="G39" s="3">
        <f ca="1">_xlfn.XLOOKUP(Table219[[#This Row],[SAPSA Number]],Table1[SAPSA number],Table1[Age])</f>
        <v>55</v>
      </c>
      <c r="H39" s="3">
        <v>0</v>
      </c>
      <c r="I39" s="3">
        <f>SUM(Table219[[#This Row],[Club Points]:[League Points Earned - Dec]])</f>
        <v>0</v>
      </c>
      <c r="J3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>
        <f>_xlfn.XLOOKUP(Table219[[#This Row],[SAPSA Number]],'STD Handgun'!B:B,'STD Handgun'!J:J)</f>
        <v>0</v>
      </c>
      <c r="X39" s="3">
        <f>_xlfn.XLOOKUP(Table219[[#This Row],[SAPSA Number]],'PROD OPTICS Handgun'!B:B,'PROD OPTICS Handgun'!J:J)</f>
        <v>0</v>
      </c>
      <c r="Y39" s="3">
        <f>_xlfn.XLOOKUP(Table219[[#This Row],[SAPSA Number]],'PROD Handgun'!B:B,'PROD Handgun'!J:J)</f>
        <v>0</v>
      </c>
      <c r="Z39" s="3">
        <f>_xlfn.XLOOKUP(Table219[[#This Row],[SAPSA Number]],'OPEN Handgun'!B:B,'OPEN Handgun'!J:J)</f>
        <v>0</v>
      </c>
      <c r="AA39" s="3">
        <f>_xlfn.XLOOKUP(Table219[[#This Row],[SAPSA Number]],'CLASSIC Handgun'!B:B,'CLASSIC Handgun'!J:J)</f>
        <v>0</v>
      </c>
      <c r="AB39" s="3">
        <f>_xlfn.XLOOKUP(Table219[[#This Row],[SAPSA Number]],PCC!B:B,PCC!J:J)</f>
        <v>0</v>
      </c>
      <c r="AC39" s="3">
        <f>_xlfn.XLOOKUP(Table219[[#This Row],[SAPSA Number]],'SAOpen Rifle'!B:B,'SAOpen Rifle'!J:J)</f>
        <v>0</v>
      </c>
      <c r="AD39" s="3">
        <f>_xlfn.XLOOKUP(Table219[[#This Row],[SAPSA Number]],'SA Std Rifle'!B:B,'SA Std Rifle'!J:J)</f>
        <v>0</v>
      </c>
      <c r="AE39" s="3">
        <f>_xlfn.XLOOKUP(Table219[[#This Row],[SAPSA Number]],'STD Mini Rifle'!B:B,'STD Mini Rifle'!J:J)</f>
        <v>0</v>
      </c>
      <c r="AF39" s="3">
        <f>_xlfn.XLOOKUP(Table219[[#This Row],[SAPSA Number]],'Open Mini Rifle'!B:B,'Open Mini Rifle'!J:J)</f>
        <v>0</v>
      </c>
      <c r="AG39" s="3">
        <f>_xlfn.XLOOKUP(Table219[[#This Row],[SAPSA Number]],'SA OPEN Shotgun'!B:B,'SA OPEN Shotgun'!J:J)</f>
        <v>0</v>
      </c>
      <c r="AH39" s="3">
        <f>_xlfn.XLOOKUP(Table219[[#This Row],[SAPSA Number]],'SA STD Shotgun'!B:B,'SA STD Shotgun'!J:J)</f>
        <v>0</v>
      </c>
      <c r="AI39" s="3">
        <f>_xlfn.XLOOKUP(Table219[[#This Row],[SAPSA Number]],'MAN STD Shotgun'!B:B,'MAN STD Shotgun'!J:J)</f>
        <v>0</v>
      </c>
      <c r="AJ39" s="4">
        <f>_xlfn.XLOOKUP(Table219[[#This Row],[SAPSA Number]],'MODIFIED Shotgun'!B:B,'MODIFIED Shotgun'!J:J)</f>
        <v>0</v>
      </c>
    </row>
    <row r="40" spans="1:36" x14ac:dyDescent="0.3">
      <c r="A40" s="150">
        <v>3810</v>
      </c>
      <c r="B40" s="2"/>
      <c r="C40" s="5" t="s">
        <v>477</v>
      </c>
      <c r="D40" s="5" t="s">
        <v>478</v>
      </c>
      <c r="E40" s="3" t="s">
        <v>151</v>
      </c>
      <c r="F40" s="73" t="str">
        <f ca="1">_xlfn.XLOOKUP(Table219[[#This Row],[SAPSA Number]],Table1[SAPSA number],Table1[Gender])</f>
        <v>S</v>
      </c>
      <c r="G40" s="3">
        <f ca="1">_xlfn.XLOOKUP(Table219[[#This Row],[SAPSA Number]],Table1[SAPSA number],Table1[Age])</f>
        <v>57</v>
      </c>
      <c r="H40" s="3">
        <v>1</v>
      </c>
      <c r="I40" s="3">
        <f>SUM(Table219[[#This Row],[Club Points]:[League Points Earned - Dec]])</f>
        <v>6</v>
      </c>
      <c r="J4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</v>
      </c>
      <c r="K40" s="3"/>
      <c r="L40" s="3">
        <v>3</v>
      </c>
      <c r="M40" s="3"/>
      <c r="N40" s="3"/>
      <c r="O40" s="3">
        <v>2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4"/>
    </row>
    <row r="41" spans="1:36" x14ac:dyDescent="0.3">
      <c r="A41" s="2">
        <v>3822</v>
      </c>
      <c r="B41" s="2" t="str">
        <f>_xlfn.XLOOKUP(Table219[[#This Row],[SAPSA Number]],Table1[SAPSA number],Table1[Paid up])</f>
        <v>Y</v>
      </c>
      <c r="C41" s="5" t="s">
        <v>170</v>
      </c>
      <c r="D41" s="5" t="s">
        <v>171</v>
      </c>
      <c r="E41" s="3" t="s">
        <v>172</v>
      </c>
      <c r="F41" s="73" t="str">
        <f ca="1">_xlfn.XLOOKUP(Table219[[#This Row],[SAPSA Number]],Table1[SAPSA number],Table1[Gender])</f>
        <v>S</v>
      </c>
      <c r="G41" s="3">
        <f ca="1">_xlfn.XLOOKUP(Table219[[#This Row],[SAPSA Number]],Table1[SAPSA number],Table1[Age])</f>
        <v>52</v>
      </c>
      <c r="H41" s="3">
        <v>1</v>
      </c>
      <c r="I41" s="3">
        <f>SUM(Table219[[#This Row],[Club Points]:[League Points Earned - Dec]])</f>
        <v>8</v>
      </c>
      <c r="J4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8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>
        <f>_xlfn.XLOOKUP(Table219[[#This Row],[SAPSA Number]],'STD Handgun'!B:B,'STD Handgun'!J:J)</f>
        <v>0</v>
      </c>
      <c r="X41" s="3">
        <f>_xlfn.XLOOKUP(Table219[[#This Row],[SAPSA Number]],'PROD OPTICS Handgun'!B:B,'PROD OPTICS Handgun'!J:J)</f>
        <v>0</v>
      </c>
      <c r="Y41" s="3">
        <f>_xlfn.XLOOKUP(Table219[[#This Row],[SAPSA Number]],'PROD Handgun'!B:B,'PROD Handgun'!J:J)</f>
        <v>2</v>
      </c>
      <c r="Z41" s="3">
        <f>_xlfn.XLOOKUP(Table219[[#This Row],[SAPSA Number]],'OPEN Handgun'!B:B,'OPEN Handgun'!J:J)</f>
        <v>0</v>
      </c>
      <c r="AA41" s="3">
        <f>_xlfn.XLOOKUP(Table219[[#This Row],[SAPSA Number]],'CLASSIC Handgun'!B:B,'CLASSIC Handgun'!J:J)</f>
        <v>0</v>
      </c>
      <c r="AB41" s="3">
        <f>_xlfn.XLOOKUP(Table219[[#This Row],[SAPSA Number]],PCC!B:B,PCC!J:J)</f>
        <v>3</v>
      </c>
      <c r="AC41" s="3">
        <f>_xlfn.XLOOKUP(Table219[[#This Row],[SAPSA Number]],'SAOpen Rifle'!B:B,'SAOpen Rifle'!J:J)</f>
        <v>0</v>
      </c>
      <c r="AD41" s="3">
        <f>_xlfn.XLOOKUP(Table219[[#This Row],[SAPSA Number]],'SA Std Rifle'!B:B,'SA Std Rifle'!J:J)</f>
        <v>0</v>
      </c>
      <c r="AE41" s="3">
        <f>_xlfn.XLOOKUP(Table219[[#This Row],[SAPSA Number]],'STD Mini Rifle'!B:B,'STD Mini Rifle'!J:J)</f>
        <v>0</v>
      </c>
      <c r="AF41" s="3">
        <f>_xlfn.XLOOKUP(Table219[[#This Row],[SAPSA Number]],'Open Mini Rifle'!B:B,'Open Mini Rifle'!J:J)</f>
        <v>0</v>
      </c>
      <c r="AG41" s="3">
        <f>_xlfn.XLOOKUP(Table219[[#This Row],[SAPSA Number]],'SA OPEN Shotgun'!B:B,'SA OPEN Shotgun'!J:J)</f>
        <v>0</v>
      </c>
      <c r="AH41" s="3">
        <f>_xlfn.XLOOKUP(Table219[[#This Row],[SAPSA Number]],'SA STD Shotgun'!B:B,'SA STD Shotgun'!J:J)</f>
        <v>3</v>
      </c>
      <c r="AI41" s="3">
        <f>_xlfn.XLOOKUP(Table219[[#This Row],[SAPSA Number]],'MAN STD Shotgun'!B:B,'MAN STD Shotgun'!J:J)</f>
        <v>0</v>
      </c>
      <c r="AJ41" s="4">
        <f>_xlfn.XLOOKUP(Table219[[#This Row],[SAPSA Number]],'MODIFIED Shotgun'!B:B,'MODIFIED Shotgun'!J:J)</f>
        <v>0</v>
      </c>
    </row>
    <row r="42" spans="1:36" x14ac:dyDescent="0.3">
      <c r="A42" s="2">
        <v>3832</v>
      </c>
      <c r="B42" s="2" t="str">
        <f>_xlfn.XLOOKUP(Table219[[#This Row],[SAPSA Number]],Table1[SAPSA number],Table1[Paid up])</f>
        <v>Y</v>
      </c>
      <c r="C42" s="5" t="s">
        <v>50</v>
      </c>
      <c r="D42" s="5" t="s">
        <v>51</v>
      </c>
      <c r="E42" s="3" t="s">
        <v>52</v>
      </c>
      <c r="F42" s="73" t="str">
        <f ca="1">_xlfn.XLOOKUP(Table219[[#This Row],[SAPSA Number]],Table1[SAPSA number],Table1[Gender])</f>
        <v>S</v>
      </c>
      <c r="G42" s="3">
        <f ca="1">_xlfn.XLOOKUP(Table219[[#This Row],[SAPSA Number]],Table1[SAPSA number],Table1[Age])</f>
        <v>53</v>
      </c>
      <c r="H42" s="81" t="s">
        <v>277</v>
      </c>
      <c r="I42" s="3">
        <f>SUM(Table219[[#This Row],[Club Points]:[League Points Earned - Dec]])</f>
        <v>28</v>
      </c>
      <c r="J4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15</v>
      </c>
      <c r="K42" s="3">
        <v>2</v>
      </c>
      <c r="L42" s="3">
        <v>2</v>
      </c>
      <c r="M42" s="3">
        <v>2</v>
      </c>
      <c r="N42" s="3">
        <v>2</v>
      </c>
      <c r="O42" s="3">
        <v>2</v>
      </c>
      <c r="P42" s="3"/>
      <c r="Q42" s="3"/>
      <c r="R42" s="3"/>
      <c r="S42" s="3">
        <v>2</v>
      </c>
      <c r="T42" s="3"/>
      <c r="U42" s="3">
        <v>1</v>
      </c>
      <c r="V42" s="3"/>
      <c r="W42" s="3">
        <f>_xlfn.XLOOKUP(Table219[[#This Row],[SAPSA Number]],'STD Handgun'!B:B,'STD Handgun'!J:J)</f>
        <v>0</v>
      </c>
      <c r="X42" s="3">
        <f>_xlfn.XLOOKUP(Table219[[#This Row],[SAPSA Number]],'PROD OPTICS Handgun'!B:B,'PROD OPTICS Handgun'!J:J)</f>
        <v>5</v>
      </c>
      <c r="Y42" s="3">
        <f>_xlfn.XLOOKUP(Table219[[#This Row],[SAPSA Number]],'PROD Handgun'!B:B,'PROD Handgun'!J:J)</f>
        <v>0</v>
      </c>
      <c r="Z42" s="3">
        <f>_xlfn.XLOOKUP(Table219[[#This Row],[SAPSA Number]],'OPEN Handgun'!B:B,'OPEN Handgun'!J:J)</f>
        <v>0</v>
      </c>
      <c r="AA42" s="3">
        <f>_xlfn.XLOOKUP(Table219[[#This Row],[SAPSA Number]],'CLASSIC Handgun'!B:B,'CLASSIC Handgun'!J:J)</f>
        <v>0</v>
      </c>
      <c r="AB42" s="3">
        <f>_xlfn.XLOOKUP(Table219[[#This Row],[SAPSA Number]],PCC!B:B,PCC!J:J)</f>
        <v>10</v>
      </c>
      <c r="AC42" s="3">
        <f>_xlfn.XLOOKUP(Table219[[#This Row],[SAPSA Number]],'SAOpen Rifle'!B:B,'SAOpen Rifle'!J:J)</f>
        <v>0</v>
      </c>
      <c r="AD42" s="3">
        <f>_xlfn.XLOOKUP(Table219[[#This Row],[SAPSA Number]],'SA Std Rifle'!B:B,'SA Std Rifle'!J:J)</f>
        <v>0</v>
      </c>
      <c r="AE42" s="3">
        <f>_xlfn.XLOOKUP(Table219[[#This Row],[SAPSA Number]],'STD Mini Rifle'!B:B,'STD Mini Rifle'!J:J)</f>
        <v>0</v>
      </c>
      <c r="AF42" s="3">
        <f>_xlfn.XLOOKUP(Table219[[#This Row],[SAPSA Number]],'Open Mini Rifle'!B:B,'Open Mini Rifle'!J:J)</f>
        <v>0</v>
      </c>
      <c r="AG42" s="3">
        <f>_xlfn.XLOOKUP(Table219[[#This Row],[SAPSA Number]],'SA OPEN Shotgun'!B:B,'SA OPEN Shotgun'!J:J)</f>
        <v>0</v>
      </c>
      <c r="AH42" s="3">
        <f>_xlfn.XLOOKUP(Table219[[#This Row],[SAPSA Number]],'SA STD Shotgun'!B:B,'SA STD Shotgun'!J:J)</f>
        <v>0</v>
      </c>
      <c r="AI42" s="3">
        <f>_xlfn.XLOOKUP(Table219[[#This Row],[SAPSA Number]],'MAN STD Shotgun'!B:B,'MAN STD Shotgun'!J:J)</f>
        <v>0</v>
      </c>
      <c r="AJ42" s="4">
        <f>_xlfn.XLOOKUP(Table219[[#This Row],[SAPSA Number]],'MODIFIED Shotgun'!B:B,'MODIFIED Shotgun'!J:J)</f>
        <v>0</v>
      </c>
    </row>
    <row r="43" spans="1:36" x14ac:dyDescent="0.3">
      <c r="A43" s="150">
        <v>3837</v>
      </c>
      <c r="B43" s="2"/>
      <c r="C43" s="5" t="s">
        <v>487</v>
      </c>
      <c r="D43" s="5" t="s">
        <v>488</v>
      </c>
      <c r="E43" s="3" t="s">
        <v>54</v>
      </c>
      <c r="F43" s="73" t="str">
        <f ca="1">_xlfn.XLOOKUP(Table219[[#This Row],[SAPSA Number]],Table1[SAPSA number],Table1[Gender])</f>
        <v xml:space="preserve"> </v>
      </c>
      <c r="G43" s="3">
        <f ca="1">_xlfn.XLOOKUP(Table219[[#This Row],[SAPSA Number]],Table1[SAPSA number],Table1[Age])</f>
        <v>49</v>
      </c>
      <c r="H43" s="3">
        <v>1</v>
      </c>
      <c r="I43" s="3">
        <f>SUM(Table219[[#This Row],[Club Points]:[League Points Earned - Dec]])</f>
        <v>1</v>
      </c>
      <c r="J4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4"/>
    </row>
    <row r="44" spans="1:36" x14ac:dyDescent="0.3">
      <c r="A44" s="2">
        <v>4094</v>
      </c>
      <c r="B44" s="2" t="str">
        <f>_xlfn.XLOOKUP(Table219[[#This Row],[SAPSA Number]],Table1[SAPSA number],Table1[Paid up])</f>
        <v>Y</v>
      </c>
      <c r="C44" s="5" t="s">
        <v>113</v>
      </c>
      <c r="D44" s="5" t="s">
        <v>114</v>
      </c>
      <c r="E44" s="3" t="s">
        <v>107</v>
      </c>
      <c r="F44" s="73" t="str">
        <f ca="1">_xlfn.XLOOKUP(Table219[[#This Row],[SAPSA Number]],Table1[SAPSA number],Table1[Gender])</f>
        <v xml:space="preserve"> </v>
      </c>
      <c r="G44" s="3">
        <f ca="1">_xlfn.XLOOKUP(Table219[[#This Row],[SAPSA Number]],Table1[SAPSA number],Table1[Age])</f>
        <v>43</v>
      </c>
      <c r="H44" s="3">
        <v>2</v>
      </c>
      <c r="I44" s="3">
        <f>SUM(Table219[[#This Row],[Club Points]:[League Points Earned - Dec]])</f>
        <v>0</v>
      </c>
      <c r="J4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>
        <f>_xlfn.XLOOKUP(Table219[[#This Row],[SAPSA Number]],'STD Handgun'!B:B,'STD Handgun'!J:J)</f>
        <v>0</v>
      </c>
      <c r="X44" s="3">
        <f>_xlfn.XLOOKUP(Table219[[#This Row],[SAPSA Number]],'PROD OPTICS Handgun'!B:B,'PROD OPTICS Handgun'!J:J)</f>
        <v>0</v>
      </c>
      <c r="Y44" s="3">
        <f>_xlfn.XLOOKUP(Table219[[#This Row],[SAPSA Number]],'PROD Handgun'!B:B,'PROD Handgun'!J:J)</f>
        <v>0</v>
      </c>
      <c r="Z44" s="3">
        <f>_xlfn.XLOOKUP(Table219[[#This Row],[SAPSA Number]],'OPEN Handgun'!B:B,'OPEN Handgun'!J:J)</f>
        <v>0</v>
      </c>
      <c r="AA44" s="3">
        <f>_xlfn.XLOOKUP(Table219[[#This Row],[SAPSA Number]],'CLASSIC Handgun'!B:B,'CLASSIC Handgun'!J:J)</f>
        <v>0</v>
      </c>
      <c r="AB44" s="3">
        <f>_xlfn.XLOOKUP(Table219[[#This Row],[SAPSA Number]],PCC!B:B,PCC!J:J)</f>
        <v>0</v>
      </c>
      <c r="AC44" s="3">
        <f>_xlfn.XLOOKUP(Table219[[#This Row],[SAPSA Number]],'SAOpen Rifle'!B:B,'SAOpen Rifle'!J:J)</f>
        <v>0</v>
      </c>
      <c r="AD44" s="3">
        <f>_xlfn.XLOOKUP(Table219[[#This Row],[SAPSA Number]],'SA Std Rifle'!B:B,'SA Std Rifle'!J:J)</f>
        <v>0</v>
      </c>
      <c r="AE44" s="3">
        <f>_xlfn.XLOOKUP(Table219[[#This Row],[SAPSA Number]],'STD Mini Rifle'!B:B,'STD Mini Rifle'!J:J)</f>
        <v>0</v>
      </c>
      <c r="AF44" s="3">
        <f>_xlfn.XLOOKUP(Table219[[#This Row],[SAPSA Number]],'Open Mini Rifle'!B:B,'Open Mini Rifle'!J:J)</f>
        <v>0</v>
      </c>
      <c r="AG44" s="3">
        <f>_xlfn.XLOOKUP(Table219[[#This Row],[SAPSA Number]],'SA OPEN Shotgun'!B:B,'SA OPEN Shotgun'!J:J)</f>
        <v>0</v>
      </c>
      <c r="AH44" s="3">
        <f>_xlfn.XLOOKUP(Table219[[#This Row],[SAPSA Number]],'SA STD Shotgun'!B:B,'SA STD Shotgun'!J:J)</f>
        <v>0</v>
      </c>
      <c r="AI44" s="3">
        <f>_xlfn.XLOOKUP(Table219[[#This Row],[SAPSA Number]],'MAN STD Shotgun'!B:B,'MAN STD Shotgun'!J:J)</f>
        <v>0</v>
      </c>
      <c r="AJ44" s="4">
        <f>_xlfn.XLOOKUP(Table219[[#This Row],[SAPSA Number]],'MODIFIED Shotgun'!B:B,'MODIFIED Shotgun'!J:J)</f>
        <v>0</v>
      </c>
    </row>
    <row r="45" spans="1:36" x14ac:dyDescent="0.3">
      <c r="A45" s="2">
        <v>4316</v>
      </c>
      <c r="B45" s="2" t="str">
        <f>_xlfn.XLOOKUP(Table219[[#This Row],[SAPSA Number]],Table1[SAPSA number],Table1[Paid up])</f>
        <v>Y</v>
      </c>
      <c r="C45" s="5" t="s">
        <v>175</v>
      </c>
      <c r="D45" s="5" t="s">
        <v>86</v>
      </c>
      <c r="E45" s="3" t="s">
        <v>176</v>
      </c>
      <c r="F45" s="73" t="str">
        <f ca="1">_xlfn.XLOOKUP(Table219[[#This Row],[SAPSA Number]],Table1[SAPSA number],Table1[Gender])</f>
        <v>S</v>
      </c>
      <c r="G45" s="3">
        <f ca="1">_xlfn.XLOOKUP(Table219[[#This Row],[SAPSA Number]],Table1[SAPSA number],Table1[Age])</f>
        <v>55</v>
      </c>
      <c r="H45" s="3">
        <v>5</v>
      </c>
      <c r="I45" s="3">
        <f>SUM(Table219[[#This Row],[Club Points]:[League Points Earned - Dec]])</f>
        <v>15</v>
      </c>
      <c r="J4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8</v>
      </c>
      <c r="K45" s="3"/>
      <c r="L45" s="3">
        <v>2</v>
      </c>
      <c r="M45" s="3">
        <v>2</v>
      </c>
      <c r="N45" s="3"/>
      <c r="O45" s="3">
        <v>2</v>
      </c>
      <c r="P45" s="3"/>
      <c r="Q45" s="3"/>
      <c r="R45" s="3"/>
      <c r="S45" s="3"/>
      <c r="T45" s="3"/>
      <c r="U45" s="3">
        <v>1</v>
      </c>
      <c r="V45" s="3"/>
      <c r="W45" s="3">
        <f>_xlfn.XLOOKUP(Table219[[#This Row],[SAPSA Number]],'STD Handgun'!B:B,'STD Handgun'!J:J)</f>
        <v>0</v>
      </c>
      <c r="X45" s="3">
        <f>_xlfn.XLOOKUP(Table219[[#This Row],[SAPSA Number]],'PROD OPTICS Handgun'!B:B,'PROD OPTICS Handgun'!J:J)</f>
        <v>0</v>
      </c>
      <c r="Y45" s="3">
        <f>_xlfn.XLOOKUP(Table219[[#This Row],[SAPSA Number]],'PROD Handgun'!B:B,'PROD Handgun'!J:J)</f>
        <v>1</v>
      </c>
      <c r="Z45" s="3">
        <f>_xlfn.XLOOKUP(Table219[[#This Row],[SAPSA Number]],'OPEN Handgun'!B:B,'OPEN Handgun'!J:J)</f>
        <v>0</v>
      </c>
      <c r="AA45" s="3">
        <f>_xlfn.XLOOKUP(Table219[[#This Row],[SAPSA Number]],'CLASSIC Handgun'!B:B,'CLASSIC Handgun'!J:J)</f>
        <v>0</v>
      </c>
      <c r="AB45" s="3">
        <f>_xlfn.XLOOKUP(Table219[[#This Row],[SAPSA Number]],PCC!B:B,PCC!J:J)</f>
        <v>7</v>
      </c>
      <c r="AC45" s="3">
        <f>_xlfn.XLOOKUP(Table219[[#This Row],[SAPSA Number]],'SAOpen Rifle'!B:B,'SAOpen Rifle'!J:J)</f>
        <v>0</v>
      </c>
      <c r="AD45" s="3">
        <f>_xlfn.XLOOKUP(Table219[[#This Row],[SAPSA Number]],'SA Std Rifle'!B:B,'SA Std Rifle'!J:J)</f>
        <v>0</v>
      </c>
      <c r="AE45" s="3">
        <f>_xlfn.XLOOKUP(Table219[[#This Row],[SAPSA Number]],'STD Mini Rifle'!B:B,'STD Mini Rifle'!J:J)</f>
        <v>0</v>
      </c>
      <c r="AF45" s="3">
        <f>_xlfn.XLOOKUP(Table219[[#This Row],[SAPSA Number]],'Open Mini Rifle'!B:B,'Open Mini Rifle'!J:J)</f>
        <v>0</v>
      </c>
      <c r="AG45" s="3">
        <f>_xlfn.XLOOKUP(Table219[[#This Row],[SAPSA Number]],'SA OPEN Shotgun'!B:B,'SA OPEN Shotgun'!J:J)</f>
        <v>0</v>
      </c>
      <c r="AH45" s="3">
        <f>_xlfn.XLOOKUP(Table219[[#This Row],[SAPSA Number]],'SA STD Shotgun'!B:B,'SA STD Shotgun'!J:J)</f>
        <v>0</v>
      </c>
      <c r="AI45" s="3">
        <f>_xlfn.XLOOKUP(Table219[[#This Row],[SAPSA Number]],'MAN STD Shotgun'!B:B,'MAN STD Shotgun'!J:J)</f>
        <v>0</v>
      </c>
      <c r="AJ45" s="4">
        <f>_xlfn.XLOOKUP(Table219[[#This Row],[SAPSA Number]],'MODIFIED Shotgun'!B:B,'MODIFIED Shotgun'!J:J)</f>
        <v>0</v>
      </c>
    </row>
    <row r="46" spans="1:36" x14ac:dyDescent="0.3">
      <c r="A46" s="2">
        <v>4621</v>
      </c>
      <c r="B46" s="2" t="s">
        <v>473</v>
      </c>
      <c r="C46" s="5" t="s">
        <v>35</v>
      </c>
      <c r="D46" s="5" t="s">
        <v>36</v>
      </c>
      <c r="E46" s="3" t="s">
        <v>24</v>
      </c>
      <c r="F46" s="73" t="str">
        <f ca="1">_xlfn.XLOOKUP(Table219[[#This Row],[SAPSA Number]],Table1[SAPSA number],Table1[Gender])</f>
        <v>SS</v>
      </c>
      <c r="G46" s="3">
        <f ca="1">_xlfn.XLOOKUP(Table219[[#This Row],[SAPSA Number]],Table1[SAPSA number],Table1[Age])</f>
        <v>63</v>
      </c>
      <c r="H46" s="3">
        <v>3</v>
      </c>
      <c r="I46" s="3">
        <f>SUM(Table219[[#This Row],[Club Points]:[League Points Earned - Dec]])</f>
        <v>18</v>
      </c>
      <c r="J4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8</v>
      </c>
      <c r="K46" s="3"/>
      <c r="L46" s="3">
        <v>2</v>
      </c>
      <c r="M46" s="3">
        <v>2</v>
      </c>
      <c r="N46" s="3">
        <v>2</v>
      </c>
      <c r="O46" s="3">
        <v>2</v>
      </c>
      <c r="P46" s="3"/>
      <c r="Q46" s="3"/>
      <c r="R46" s="3">
        <v>2</v>
      </c>
      <c r="S46" s="3"/>
      <c r="T46" s="3"/>
      <c r="U46" s="3"/>
      <c r="V46" s="3"/>
      <c r="W46" s="3">
        <f>_xlfn.XLOOKUP(Table219[[#This Row],[SAPSA Number]],'STD Handgun'!B:B,'STD Handgun'!J:J)</f>
        <v>0</v>
      </c>
      <c r="X46" s="3">
        <f>_xlfn.XLOOKUP(Table219[[#This Row],[SAPSA Number]],'PROD OPTICS Handgun'!B:B,'PROD OPTICS Handgun'!J:J)</f>
        <v>1</v>
      </c>
      <c r="Y46" s="3">
        <f>_xlfn.XLOOKUP(Table219[[#This Row],[SAPSA Number]],'PROD Handgun'!B:B,'PROD Handgun'!J:J)</f>
        <v>0</v>
      </c>
      <c r="Z46" s="3">
        <f>_xlfn.XLOOKUP(Table219[[#This Row],[SAPSA Number]],'OPEN Handgun'!B:B,'OPEN Handgun'!J:J)</f>
        <v>0</v>
      </c>
      <c r="AA46" s="3">
        <f>_xlfn.XLOOKUP(Table219[[#This Row],[SAPSA Number]],'CLASSIC Handgun'!B:B,'CLASSIC Handgun'!J:J)</f>
        <v>0</v>
      </c>
      <c r="AB46" s="3">
        <f>_xlfn.XLOOKUP(Table219[[#This Row],[SAPSA Number]],PCC!B:B,PCC!J:J)</f>
        <v>7</v>
      </c>
      <c r="AC46" s="3">
        <f>_xlfn.XLOOKUP(Table219[[#This Row],[SAPSA Number]],'SAOpen Rifle'!B:B,'SAOpen Rifle'!J:J)</f>
        <v>0</v>
      </c>
      <c r="AD46" s="3">
        <f>_xlfn.XLOOKUP(Table219[[#This Row],[SAPSA Number]],'SA Std Rifle'!B:B,'SA Std Rifle'!J:J)</f>
        <v>0</v>
      </c>
      <c r="AE46" s="3">
        <f>_xlfn.XLOOKUP(Table219[[#This Row],[SAPSA Number]],'STD Mini Rifle'!B:B,'STD Mini Rifle'!J:J)</f>
        <v>0</v>
      </c>
      <c r="AF46" s="3">
        <f>_xlfn.XLOOKUP(Table219[[#This Row],[SAPSA Number]],'Open Mini Rifle'!B:B,'Open Mini Rifle'!J:J)</f>
        <v>0</v>
      </c>
      <c r="AG46" s="3">
        <f>_xlfn.XLOOKUP(Table219[[#This Row],[SAPSA Number]],'SA OPEN Shotgun'!B:B,'SA OPEN Shotgun'!J:J)</f>
        <v>0</v>
      </c>
      <c r="AH46" s="3">
        <f>_xlfn.XLOOKUP(Table219[[#This Row],[SAPSA Number]],'SA STD Shotgun'!B:B,'SA STD Shotgun'!J:J)</f>
        <v>0</v>
      </c>
      <c r="AI46" s="3">
        <f>_xlfn.XLOOKUP(Table219[[#This Row],[SAPSA Number]],'MAN STD Shotgun'!B:B,'MAN STD Shotgun'!J:J)</f>
        <v>0</v>
      </c>
      <c r="AJ46" s="4">
        <f>_xlfn.XLOOKUP(Table219[[#This Row],[SAPSA Number]],'MODIFIED Shotgun'!B:B,'MODIFIED Shotgun'!J:J)</f>
        <v>0</v>
      </c>
    </row>
    <row r="47" spans="1:36" x14ac:dyDescent="0.3">
      <c r="A47" s="2">
        <v>4624</v>
      </c>
      <c r="B47" s="2" t="str">
        <f>_xlfn.XLOOKUP(Table219[[#This Row],[SAPSA Number]],Table1[SAPSA number],Table1[Paid up])</f>
        <v>Y</v>
      </c>
      <c r="C47" s="5" t="s">
        <v>164</v>
      </c>
      <c r="D47" s="5" t="s">
        <v>165</v>
      </c>
      <c r="E47" s="3" t="s">
        <v>161</v>
      </c>
      <c r="F47" s="73" t="str">
        <f ca="1">_xlfn.XLOOKUP(Table219[[#This Row],[SAPSA Number]],Table1[SAPSA number],Table1[Gender])</f>
        <v>S</v>
      </c>
      <c r="G47" s="3">
        <f ca="1">_xlfn.XLOOKUP(Table219[[#This Row],[SAPSA Number]],Table1[SAPSA number],Table1[Age])</f>
        <v>57</v>
      </c>
      <c r="H47" s="3">
        <v>0</v>
      </c>
      <c r="I47" s="3">
        <f>SUM(Table219[[#This Row],[Club Points]:[League Points Earned - Dec]])</f>
        <v>6</v>
      </c>
      <c r="J4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47" s="3">
        <v>1</v>
      </c>
      <c r="L47" s="3"/>
      <c r="M47" s="3"/>
      <c r="N47" s="3">
        <v>3</v>
      </c>
      <c r="O47" s="3">
        <v>2</v>
      </c>
      <c r="P47" s="3"/>
      <c r="Q47" s="3"/>
      <c r="R47" s="3"/>
      <c r="S47" s="3"/>
      <c r="T47" s="3"/>
      <c r="U47" s="3"/>
      <c r="V47" s="3"/>
      <c r="W47" s="3">
        <f>_xlfn.XLOOKUP(Table219[[#This Row],[SAPSA Number]],'STD Handgun'!B:B,'STD Handgun'!J:J)</f>
        <v>0</v>
      </c>
      <c r="X47" s="3">
        <f>_xlfn.XLOOKUP(Table219[[#This Row],[SAPSA Number]],'PROD OPTICS Handgun'!B:B,'PROD OPTICS Handgun'!J:J)</f>
        <v>0</v>
      </c>
      <c r="Y47" s="3">
        <f>_xlfn.XLOOKUP(Table219[[#This Row],[SAPSA Number]],'PROD Handgun'!B:B,'PROD Handgun'!J:J)</f>
        <v>0</v>
      </c>
      <c r="Z47" s="3">
        <f>_xlfn.XLOOKUP(Table219[[#This Row],[SAPSA Number]],'OPEN Handgun'!B:B,'OPEN Handgun'!J:J)</f>
        <v>0</v>
      </c>
      <c r="AA47" s="3">
        <f>_xlfn.XLOOKUP(Table219[[#This Row],[SAPSA Number]],'CLASSIC Handgun'!B:B,'CLASSIC Handgun'!J:J)</f>
        <v>0</v>
      </c>
      <c r="AB47" s="3">
        <f>_xlfn.XLOOKUP(Table219[[#This Row],[SAPSA Number]],PCC!B:B,PCC!J:J)</f>
        <v>0</v>
      </c>
      <c r="AC47" s="3">
        <f>_xlfn.XLOOKUP(Table219[[#This Row],[SAPSA Number]],'SAOpen Rifle'!B:B,'SAOpen Rifle'!J:J)</f>
        <v>0</v>
      </c>
      <c r="AD47" s="3">
        <f>_xlfn.XLOOKUP(Table219[[#This Row],[SAPSA Number]],'SA Std Rifle'!B:B,'SA Std Rifle'!J:J)</f>
        <v>0</v>
      </c>
      <c r="AE47" s="3">
        <f>_xlfn.XLOOKUP(Table219[[#This Row],[SAPSA Number]],'STD Mini Rifle'!B:B,'STD Mini Rifle'!J:J)</f>
        <v>0</v>
      </c>
      <c r="AF47" s="3">
        <f>_xlfn.XLOOKUP(Table219[[#This Row],[SAPSA Number]],'Open Mini Rifle'!B:B,'Open Mini Rifle'!J:J)</f>
        <v>0</v>
      </c>
      <c r="AG47" s="3">
        <f>_xlfn.XLOOKUP(Table219[[#This Row],[SAPSA Number]],'SA OPEN Shotgun'!B:B,'SA OPEN Shotgun'!J:J)</f>
        <v>0</v>
      </c>
      <c r="AH47" s="3">
        <f>_xlfn.XLOOKUP(Table219[[#This Row],[SAPSA Number]],'SA STD Shotgun'!B:B,'SA STD Shotgun'!J:J)</f>
        <v>0</v>
      </c>
      <c r="AI47" s="3">
        <f>_xlfn.XLOOKUP(Table219[[#This Row],[SAPSA Number]],'MAN STD Shotgun'!B:B,'MAN STD Shotgun'!J:J)</f>
        <v>0</v>
      </c>
      <c r="AJ47" s="4">
        <f>_xlfn.XLOOKUP(Table219[[#This Row],[SAPSA Number]],'MODIFIED Shotgun'!B:B,'MODIFIED Shotgun'!J:J)</f>
        <v>0</v>
      </c>
    </row>
    <row r="48" spans="1:36" x14ac:dyDescent="0.3">
      <c r="A48" s="2">
        <v>4672</v>
      </c>
      <c r="B48" s="2" t="str">
        <f>_xlfn.XLOOKUP(Table219[[#This Row],[SAPSA Number]],Table1[SAPSA number],Table1[Paid up])</f>
        <v>Y</v>
      </c>
      <c r="C48" s="5" t="s">
        <v>69</v>
      </c>
      <c r="D48" s="5" t="s">
        <v>70</v>
      </c>
      <c r="E48" s="3" t="s">
        <v>71</v>
      </c>
      <c r="F48" s="73" t="str">
        <f ca="1">_xlfn.XLOOKUP(Table219[[#This Row],[SAPSA Number]],Table1[SAPSA number],Table1[Gender])</f>
        <v>SS</v>
      </c>
      <c r="G48" s="3">
        <f ca="1">_xlfn.XLOOKUP(Table219[[#This Row],[SAPSA Number]],Table1[SAPSA number],Table1[Age])</f>
        <v>60</v>
      </c>
      <c r="H48" s="3">
        <v>1</v>
      </c>
      <c r="I48" s="3">
        <f>SUM(Table219[[#This Row],[Club Points]:[League Points Earned - Dec]])</f>
        <v>7</v>
      </c>
      <c r="J4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3</v>
      </c>
      <c r="K48" s="3">
        <v>2</v>
      </c>
      <c r="L48" s="3"/>
      <c r="M48" s="3"/>
      <c r="N48" s="3"/>
      <c r="O48" s="3"/>
      <c r="P48" s="3"/>
      <c r="Q48" s="3">
        <v>2</v>
      </c>
      <c r="R48" s="3"/>
      <c r="S48" s="3"/>
      <c r="T48" s="3"/>
      <c r="U48" s="3"/>
      <c r="V48" s="3"/>
      <c r="W48" s="3">
        <f>_xlfn.XLOOKUP(Table219[[#This Row],[SAPSA Number]],'STD Handgun'!B:B,'STD Handgun'!J:J)</f>
        <v>0</v>
      </c>
      <c r="X48" s="3">
        <f>_xlfn.XLOOKUP(Table219[[#This Row],[SAPSA Number]],'PROD OPTICS Handgun'!B:B,'PROD OPTICS Handgun'!J:J)</f>
        <v>0</v>
      </c>
      <c r="Y48" s="3">
        <f>_xlfn.XLOOKUP(Table219[[#This Row],[SAPSA Number]],'PROD Handgun'!B:B,'PROD Handgun'!J:J)</f>
        <v>0</v>
      </c>
      <c r="Z48" s="3">
        <f>_xlfn.XLOOKUP(Table219[[#This Row],[SAPSA Number]],'OPEN Handgun'!B:B,'OPEN Handgun'!J:J)</f>
        <v>0</v>
      </c>
      <c r="AA48" s="3">
        <f>_xlfn.XLOOKUP(Table219[[#This Row],[SAPSA Number]],'CLASSIC Handgun'!B:B,'CLASSIC Handgun'!J:J)</f>
        <v>0</v>
      </c>
      <c r="AB48" s="3">
        <f>_xlfn.XLOOKUP(Table219[[#This Row],[SAPSA Number]],PCC!B:B,PCC!J:J)</f>
        <v>0</v>
      </c>
      <c r="AC48" s="3">
        <f>_xlfn.XLOOKUP(Table219[[#This Row],[SAPSA Number]],'SAOpen Rifle'!B:B,'SAOpen Rifle'!J:J)</f>
        <v>0</v>
      </c>
      <c r="AD48" s="3">
        <f>_xlfn.XLOOKUP(Table219[[#This Row],[SAPSA Number]],'SA Std Rifle'!B:B,'SA Std Rifle'!J:J)</f>
        <v>0</v>
      </c>
      <c r="AE48" s="3">
        <f>_xlfn.XLOOKUP(Table219[[#This Row],[SAPSA Number]],'STD Mini Rifle'!B:B,'STD Mini Rifle'!J:J)</f>
        <v>0</v>
      </c>
      <c r="AF48" s="3">
        <f>_xlfn.XLOOKUP(Table219[[#This Row],[SAPSA Number]],'Open Mini Rifle'!B:B,'Open Mini Rifle'!J:J)</f>
        <v>1</v>
      </c>
      <c r="AG48" s="3">
        <f>_xlfn.XLOOKUP(Table219[[#This Row],[SAPSA Number]],'SA OPEN Shotgun'!B:B,'SA OPEN Shotgun'!J:J)</f>
        <v>0</v>
      </c>
      <c r="AH48" s="3">
        <f>_xlfn.XLOOKUP(Table219[[#This Row],[SAPSA Number]],'SA STD Shotgun'!B:B,'SA STD Shotgun'!J:J)</f>
        <v>0</v>
      </c>
      <c r="AI48" s="3">
        <f>_xlfn.XLOOKUP(Table219[[#This Row],[SAPSA Number]],'MAN STD Shotgun'!B:B,'MAN STD Shotgun'!J:J)</f>
        <v>2</v>
      </c>
      <c r="AJ48" s="4">
        <f>_xlfn.XLOOKUP(Table219[[#This Row],[SAPSA Number]],'MODIFIED Shotgun'!B:B,'MODIFIED Shotgun'!J:J)</f>
        <v>0</v>
      </c>
    </row>
    <row r="49" spans="1:36" x14ac:dyDescent="0.3">
      <c r="A49" s="2">
        <v>4858</v>
      </c>
      <c r="B49" s="2" t="str">
        <f>_xlfn.XLOOKUP(Table219[[#This Row],[SAPSA Number]],Table1[SAPSA number],Table1[Paid up])</f>
        <v>Y</v>
      </c>
      <c r="C49" s="5" t="s">
        <v>105</v>
      </c>
      <c r="D49" s="5" t="s">
        <v>106</v>
      </c>
      <c r="E49" s="3" t="s">
        <v>107</v>
      </c>
      <c r="F49" s="73" t="str">
        <f ca="1">_xlfn.XLOOKUP(Table219[[#This Row],[SAPSA Number]],Table1[SAPSA number],Table1[Gender])</f>
        <v xml:space="preserve"> </v>
      </c>
      <c r="G49" s="3">
        <f ca="1">_xlfn.XLOOKUP(Table219[[#This Row],[SAPSA Number]],Table1[SAPSA number],Table1[Age])</f>
        <v>31</v>
      </c>
      <c r="H49" s="81" t="s">
        <v>277</v>
      </c>
      <c r="I49" s="3">
        <f>SUM(Table219[[#This Row],[Club Points]:[League Points Earned - Dec]])</f>
        <v>5</v>
      </c>
      <c r="J4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49" s="3"/>
      <c r="L49" s="3">
        <v>3</v>
      </c>
      <c r="M49" s="3"/>
      <c r="N49" s="3"/>
      <c r="O49" s="3">
        <v>2</v>
      </c>
      <c r="P49" s="3"/>
      <c r="Q49" s="3"/>
      <c r="R49" s="3"/>
      <c r="S49" s="3"/>
      <c r="T49" s="3"/>
      <c r="U49" s="3"/>
      <c r="V49" s="3"/>
      <c r="W49" s="3">
        <f>_xlfn.XLOOKUP(Table219[[#This Row],[SAPSA Number]],'STD Handgun'!B:B,'STD Handgun'!J:J)</f>
        <v>0</v>
      </c>
      <c r="X49" s="3">
        <f>_xlfn.XLOOKUP(Table219[[#This Row],[SAPSA Number]],'PROD OPTICS Handgun'!B:B,'PROD OPTICS Handgun'!J:J)</f>
        <v>0</v>
      </c>
      <c r="Y49" s="3">
        <f>_xlfn.XLOOKUP(Table219[[#This Row],[SAPSA Number]],'PROD Handgun'!B:B,'PROD Handgun'!J:J)</f>
        <v>0</v>
      </c>
      <c r="Z49" s="3">
        <f>_xlfn.XLOOKUP(Table219[[#This Row],[SAPSA Number]],'OPEN Handgun'!B:B,'OPEN Handgun'!J:J)</f>
        <v>0</v>
      </c>
      <c r="AA49" s="3">
        <f>_xlfn.XLOOKUP(Table219[[#This Row],[SAPSA Number]],'CLASSIC Handgun'!B:B,'CLASSIC Handgun'!J:J)</f>
        <v>0</v>
      </c>
      <c r="AB49" s="3">
        <f>_xlfn.XLOOKUP(Table219[[#This Row],[SAPSA Number]],PCC!B:B,PCC!J:J)</f>
        <v>0</v>
      </c>
      <c r="AC49" s="3">
        <f>_xlfn.XLOOKUP(Table219[[#This Row],[SAPSA Number]],'SAOpen Rifle'!B:B,'SAOpen Rifle'!J:J)</f>
        <v>0</v>
      </c>
      <c r="AD49" s="3">
        <f>_xlfn.XLOOKUP(Table219[[#This Row],[SAPSA Number]],'SA Std Rifle'!B:B,'SA Std Rifle'!J:J)</f>
        <v>0</v>
      </c>
      <c r="AE49" s="3">
        <f>_xlfn.XLOOKUP(Table219[[#This Row],[SAPSA Number]],'STD Mini Rifle'!B:B,'STD Mini Rifle'!J:J)</f>
        <v>0</v>
      </c>
      <c r="AF49" s="3">
        <f>_xlfn.XLOOKUP(Table219[[#This Row],[SAPSA Number]],'Open Mini Rifle'!B:B,'Open Mini Rifle'!J:J)</f>
        <v>0</v>
      </c>
      <c r="AG49" s="3">
        <f>_xlfn.XLOOKUP(Table219[[#This Row],[SAPSA Number]],'SA OPEN Shotgun'!B:B,'SA OPEN Shotgun'!J:J)</f>
        <v>0</v>
      </c>
      <c r="AH49" s="3">
        <f>_xlfn.XLOOKUP(Table219[[#This Row],[SAPSA Number]],'SA STD Shotgun'!B:B,'SA STD Shotgun'!J:J)</f>
        <v>0</v>
      </c>
      <c r="AI49" s="3">
        <f>_xlfn.XLOOKUP(Table219[[#This Row],[SAPSA Number]],'MAN STD Shotgun'!B:B,'MAN STD Shotgun'!J:J)</f>
        <v>0</v>
      </c>
      <c r="AJ49" s="4">
        <f>_xlfn.XLOOKUP(Table219[[#This Row],[SAPSA Number]],'MODIFIED Shotgun'!B:B,'MODIFIED Shotgun'!J:J)</f>
        <v>0</v>
      </c>
    </row>
    <row r="50" spans="1:36" x14ac:dyDescent="0.3">
      <c r="A50" s="2">
        <v>4862</v>
      </c>
      <c r="B50" s="2" t="str">
        <f>_xlfn.XLOOKUP(Table219[[#This Row],[SAPSA Number]],Table1[SAPSA number],Table1[Paid up])</f>
        <v>Y</v>
      </c>
      <c r="C50" s="5" t="s">
        <v>267</v>
      </c>
      <c r="D50" s="5" t="s">
        <v>101</v>
      </c>
      <c r="E50" s="3" t="s">
        <v>268</v>
      </c>
      <c r="F50" s="73" t="str">
        <f ca="1">_xlfn.XLOOKUP(Table219[[#This Row],[SAPSA Number]],Table1[SAPSA number],Table1[Gender])</f>
        <v>S</v>
      </c>
      <c r="G50" s="3">
        <f ca="1">_xlfn.XLOOKUP(Table219[[#This Row],[SAPSA Number]],Table1[SAPSA number],Table1[Age])</f>
        <v>53</v>
      </c>
      <c r="H50" s="3">
        <v>3</v>
      </c>
      <c r="I50" s="3">
        <f>SUM(Table219[[#This Row],[Club Points]:[League Points Earned - Dec]])</f>
        <v>6</v>
      </c>
      <c r="J5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6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>
        <f>_xlfn.XLOOKUP(Table219[[#This Row],[SAPSA Number]],'STD Handgun'!B:B,'STD Handgun'!J:J)</f>
        <v>0</v>
      </c>
      <c r="X50" s="3">
        <f>_xlfn.XLOOKUP(Table219[[#This Row],[SAPSA Number]],'PROD OPTICS Handgun'!B:B,'PROD OPTICS Handgun'!J:J)</f>
        <v>0</v>
      </c>
      <c r="Y50" s="3">
        <f>_xlfn.XLOOKUP(Table219[[#This Row],[SAPSA Number]],'PROD Handgun'!B:B,'PROD Handgun'!J:J)</f>
        <v>1</v>
      </c>
      <c r="Z50" s="3">
        <f>_xlfn.XLOOKUP(Table219[[#This Row],[SAPSA Number]],'OPEN Handgun'!B:B,'OPEN Handgun'!J:J)</f>
        <v>0</v>
      </c>
      <c r="AA50" s="3">
        <f>_xlfn.XLOOKUP(Table219[[#This Row],[SAPSA Number]],'CLASSIC Handgun'!B:B,'CLASSIC Handgun'!J:J)</f>
        <v>0</v>
      </c>
      <c r="AB50" s="3">
        <f>_xlfn.XLOOKUP(Table219[[#This Row],[SAPSA Number]],PCC!B:B,PCC!J:J)</f>
        <v>0</v>
      </c>
      <c r="AC50" s="3">
        <f>_xlfn.XLOOKUP(Table219[[#This Row],[SAPSA Number]],'SAOpen Rifle'!B:B,'SAOpen Rifle'!J:J)</f>
        <v>3</v>
      </c>
      <c r="AD50" s="3">
        <f>_xlfn.XLOOKUP(Table219[[#This Row],[SAPSA Number]],'SA Std Rifle'!B:B,'SA Std Rifle'!J:J)</f>
        <v>0</v>
      </c>
      <c r="AE50" s="3">
        <f>_xlfn.XLOOKUP(Table219[[#This Row],[SAPSA Number]],'STD Mini Rifle'!B:B,'STD Mini Rifle'!J:J)</f>
        <v>0</v>
      </c>
      <c r="AF50" s="3">
        <f>_xlfn.XLOOKUP(Table219[[#This Row],[SAPSA Number]],'Open Mini Rifle'!B:B,'Open Mini Rifle'!J:J)</f>
        <v>0</v>
      </c>
      <c r="AG50" s="3">
        <f>_xlfn.XLOOKUP(Table219[[#This Row],[SAPSA Number]],'SA OPEN Shotgun'!B:B,'SA OPEN Shotgun'!J:J)</f>
        <v>2</v>
      </c>
      <c r="AH50" s="3">
        <f>_xlfn.XLOOKUP(Table219[[#This Row],[SAPSA Number]],'SA STD Shotgun'!B:B,'SA STD Shotgun'!J:J)</f>
        <v>0</v>
      </c>
      <c r="AI50" s="3">
        <f>_xlfn.XLOOKUP(Table219[[#This Row],[SAPSA Number]],'MAN STD Shotgun'!B:B,'MAN STD Shotgun'!J:J)</f>
        <v>0</v>
      </c>
      <c r="AJ50" s="4">
        <f>_xlfn.XLOOKUP(Table219[[#This Row],[SAPSA Number]],'MODIFIED Shotgun'!B:B,'MODIFIED Shotgun'!J:J)</f>
        <v>0</v>
      </c>
    </row>
    <row r="51" spans="1:36" x14ac:dyDescent="0.3">
      <c r="A51" s="2">
        <v>4966</v>
      </c>
      <c r="B51" s="2" t="str">
        <f>_xlfn.XLOOKUP(Table219[[#This Row],[SAPSA Number]],Table1[SAPSA number],Table1[Paid up])</f>
        <v>Y</v>
      </c>
      <c r="C51" s="5" t="s">
        <v>183</v>
      </c>
      <c r="D51" s="5" t="s">
        <v>184</v>
      </c>
      <c r="E51" s="3" t="s">
        <v>24</v>
      </c>
      <c r="F51" s="73" t="str">
        <f ca="1">_xlfn.XLOOKUP(Table219[[#This Row],[SAPSA Number]],Table1[SAPSA number],Table1[Gender])</f>
        <v xml:space="preserve"> </v>
      </c>
      <c r="G51" s="3">
        <f ca="1">_xlfn.XLOOKUP(Table219[[#This Row],[SAPSA Number]],Table1[SAPSA number],Table1[Age])</f>
        <v>36</v>
      </c>
      <c r="H51" s="3">
        <v>0</v>
      </c>
      <c r="I51" s="3">
        <f>SUM(Table219[[#This Row],[Club Points]:[League Points Earned - Dec]])</f>
        <v>3</v>
      </c>
      <c r="J5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>
        <f>_xlfn.XLOOKUP(Table219[[#This Row],[SAPSA Number]],'STD Handgun'!B:B,'STD Handgun'!J:J)</f>
        <v>0</v>
      </c>
      <c r="X51" s="3">
        <f>_xlfn.XLOOKUP(Table219[[#This Row],[SAPSA Number]],'PROD OPTICS Handgun'!B:B,'PROD OPTICS Handgun'!J:J)</f>
        <v>0</v>
      </c>
      <c r="Y51" s="3">
        <f>_xlfn.XLOOKUP(Table219[[#This Row],[SAPSA Number]],'PROD Handgun'!B:B,'PROD Handgun'!J:J)</f>
        <v>0</v>
      </c>
      <c r="Z51" s="3">
        <f>_xlfn.XLOOKUP(Table219[[#This Row],[SAPSA Number]],'OPEN Handgun'!B:B,'OPEN Handgun'!J:J)</f>
        <v>0</v>
      </c>
      <c r="AA51" s="3">
        <f>_xlfn.XLOOKUP(Table219[[#This Row],[SAPSA Number]],'CLASSIC Handgun'!B:B,'CLASSIC Handgun'!J:J)</f>
        <v>0</v>
      </c>
      <c r="AB51" s="3">
        <f>_xlfn.XLOOKUP(Table219[[#This Row],[SAPSA Number]],PCC!B:B,PCC!J:J)</f>
        <v>1</v>
      </c>
      <c r="AC51" s="3">
        <f>_xlfn.XLOOKUP(Table219[[#This Row],[SAPSA Number]],'SAOpen Rifle'!B:B,'SAOpen Rifle'!J:J)</f>
        <v>2</v>
      </c>
      <c r="AD51" s="3">
        <f>_xlfn.XLOOKUP(Table219[[#This Row],[SAPSA Number]],'SA Std Rifle'!B:B,'SA Std Rifle'!J:J)</f>
        <v>0</v>
      </c>
      <c r="AE51" s="3">
        <f>_xlfn.XLOOKUP(Table219[[#This Row],[SAPSA Number]],'STD Mini Rifle'!B:B,'STD Mini Rifle'!J:J)</f>
        <v>0</v>
      </c>
      <c r="AF51" s="3">
        <f>_xlfn.XLOOKUP(Table219[[#This Row],[SAPSA Number]],'Open Mini Rifle'!B:B,'Open Mini Rifle'!J:J)</f>
        <v>0</v>
      </c>
      <c r="AG51" s="3">
        <f>_xlfn.XLOOKUP(Table219[[#This Row],[SAPSA Number]],'SA OPEN Shotgun'!B:B,'SA OPEN Shotgun'!J:J)</f>
        <v>0</v>
      </c>
      <c r="AH51" s="3">
        <f>_xlfn.XLOOKUP(Table219[[#This Row],[SAPSA Number]],'SA STD Shotgun'!B:B,'SA STD Shotgun'!J:J)</f>
        <v>0</v>
      </c>
      <c r="AI51" s="3">
        <f>_xlfn.XLOOKUP(Table219[[#This Row],[SAPSA Number]],'MAN STD Shotgun'!B:B,'MAN STD Shotgun'!J:J)</f>
        <v>0</v>
      </c>
      <c r="AJ51" s="4">
        <f>_xlfn.XLOOKUP(Table219[[#This Row],[SAPSA Number]],'MODIFIED Shotgun'!B:B,'MODIFIED Shotgun'!J:J)</f>
        <v>0</v>
      </c>
    </row>
    <row r="52" spans="1:36" x14ac:dyDescent="0.3">
      <c r="A52" s="2">
        <v>5200</v>
      </c>
      <c r="B52" s="2">
        <f>_xlfn.XLOOKUP(Table219[[#This Row],[SAPSA Number]],Table1[SAPSA number],Table1[Paid up])</f>
        <v>0</v>
      </c>
      <c r="C52" s="5" t="s">
        <v>453</v>
      </c>
      <c r="D52" s="5" t="s">
        <v>454</v>
      </c>
      <c r="E52" s="3" t="s">
        <v>46</v>
      </c>
      <c r="F52" s="73"/>
      <c r="G52" s="3">
        <f ca="1">_xlfn.XLOOKUP(Table219[[#This Row],[SAPSA Number]],Table1[SAPSA number],Table1[Age])</f>
        <v>38</v>
      </c>
      <c r="H52" s="3">
        <v>0</v>
      </c>
      <c r="I52" s="3">
        <f>SUM(Table219[[#This Row],[Club Points]:[League Points Earned - Dec]])</f>
        <v>0</v>
      </c>
      <c r="J5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>
        <f>_xlfn.XLOOKUP(Table219[[#This Row],[SAPSA Number]],'STD Handgun'!B:B,'STD Handgun'!J:J)</f>
        <v>0</v>
      </c>
      <c r="X52" s="3">
        <f>_xlfn.XLOOKUP(Table219[[#This Row],[SAPSA Number]],'PROD OPTICS Handgun'!B:B,'PROD OPTICS Handgun'!J:J)</f>
        <v>0</v>
      </c>
      <c r="Y52" s="3">
        <f>_xlfn.XLOOKUP(Table219[[#This Row],[SAPSA Number]],'PROD Handgun'!B:B,'PROD Handgun'!J:J)</f>
        <v>0</v>
      </c>
      <c r="Z52" s="3">
        <f>_xlfn.XLOOKUP(Table219[[#This Row],[SAPSA Number]],'OPEN Handgun'!B:B,'OPEN Handgun'!J:J)</f>
        <v>0</v>
      </c>
      <c r="AA52" s="3">
        <f>_xlfn.XLOOKUP(Table219[[#This Row],[SAPSA Number]],'CLASSIC Handgun'!B:B,'CLASSIC Handgun'!J:J)</f>
        <v>0</v>
      </c>
      <c r="AB52" s="3">
        <f>_xlfn.XLOOKUP(Table219[[#This Row],[SAPSA Number]],PCC!B:B,PCC!J:J)</f>
        <v>0</v>
      </c>
      <c r="AC52" s="3">
        <f>_xlfn.XLOOKUP(Table219[[#This Row],[SAPSA Number]],'SAOpen Rifle'!B:B,'SAOpen Rifle'!J:J)</f>
        <v>0</v>
      </c>
      <c r="AD52" s="3">
        <f>_xlfn.XLOOKUP(Table219[[#This Row],[SAPSA Number]],'SA Std Rifle'!B:B,'SA Std Rifle'!J:J)</f>
        <v>0</v>
      </c>
      <c r="AE52" s="3">
        <f>_xlfn.XLOOKUP(Table219[[#This Row],[SAPSA Number]],'STD Mini Rifle'!B:B,'STD Mini Rifle'!J:J)</f>
        <v>0</v>
      </c>
      <c r="AF52" s="3">
        <f>_xlfn.XLOOKUP(Table219[[#This Row],[SAPSA Number]],'Open Mini Rifle'!B:B,'Open Mini Rifle'!J:J)</f>
        <v>0</v>
      </c>
      <c r="AG52" s="3">
        <f>_xlfn.XLOOKUP(Table219[[#This Row],[SAPSA Number]],'SA OPEN Shotgun'!B:B,'SA OPEN Shotgun'!J:J)</f>
        <v>0</v>
      </c>
      <c r="AH52" s="3">
        <f>_xlfn.XLOOKUP(Table219[[#This Row],[SAPSA Number]],'SA STD Shotgun'!B:B,'SA STD Shotgun'!J:J)</f>
        <v>0</v>
      </c>
      <c r="AI52" s="3">
        <f>_xlfn.XLOOKUP(Table219[[#This Row],[SAPSA Number]],'MAN STD Shotgun'!B:B,'MAN STD Shotgun'!J:J)</f>
        <v>0</v>
      </c>
      <c r="AJ52" s="4">
        <f>_xlfn.XLOOKUP(Table219[[#This Row],[SAPSA Number]],'MODIFIED Shotgun'!B:B,'MODIFIED Shotgun'!J:J)</f>
        <v>0</v>
      </c>
    </row>
    <row r="53" spans="1:36" x14ac:dyDescent="0.3">
      <c r="A53" s="2">
        <v>5262</v>
      </c>
      <c r="B53" s="2" t="str">
        <f>_xlfn.XLOOKUP(Table219[[#This Row],[SAPSA Number]],Table1[SAPSA number],Table1[Paid up])</f>
        <v>Y</v>
      </c>
      <c r="C53" s="5" t="s">
        <v>17</v>
      </c>
      <c r="D53" s="5" t="s">
        <v>18</v>
      </c>
      <c r="E53" s="3" t="s">
        <v>15</v>
      </c>
      <c r="F53" s="73" t="str">
        <f ca="1">_xlfn.XLOOKUP(Table219[[#This Row],[SAPSA Number]],Table1[SAPSA number],Table1[Gender])</f>
        <v xml:space="preserve"> </v>
      </c>
      <c r="G53" s="3">
        <f ca="1">_xlfn.XLOOKUP(Table219[[#This Row],[SAPSA Number]],Table1[SAPSA number],Table1[Age])</f>
        <v>48</v>
      </c>
      <c r="H53" s="81" t="s">
        <v>277</v>
      </c>
      <c r="I53" s="3">
        <f>SUM(Table219[[#This Row],[Club Points]:[League Points Earned - Dec]])</f>
        <v>22</v>
      </c>
      <c r="J5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15</v>
      </c>
      <c r="K53" s="3"/>
      <c r="L53" s="3"/>
      <c r="M53" s="3"/>
      <c r="N53" s="3">
        <v>2</v>
      </c>
      <c r="O53" s="3">
        <v>2</v>
      </c>
      <c r="P53" s="3"/>
      <c r="Q53" s="3">
        <v>2</v>
      </c>
      <c r="R53" s="3"/>
      <c r="S53" s="3"/>
      <c r="T53" s="3"/>
      <c r="U53" s="3">
        <v>1</v>
      </c>
      <c r="V53" s="3"/>
      <c r="W53" s="3">
        <f>_xlfn.XLOOKUP(Table219[[#This Row],[SAPSA Number]],'STD Handgun'!B:B,'STD Handgun'!J:J)</f>
        <v>0</v>
      </c>
      <c r="X53" s="3">
        <f>_xlfn.XLOOKUP(Table219[[#This Row],[SAPSA Number]],'PROD OPTICS Handgun'!B:B,'PROD OPTICS Handgun'!J:J)</f>
        <v>0</v>
      </c>
      <c r="Y53" s="3">
        <f>_xlfn.XLOOKUP(Table219[[#This Row],[SAPSA Number]],'PROD Handgun'!B:B,'PROD Handgun'!J:J)</f>
        <v>0</v>
      </c>
      <c r="Z53" s="3">
        <f>_xlfn.XLOOKUP(Table219[[#This Row],[SAPSA Number]],'OPEN Handgun'!B:B,'OPEN Handgun'!J:J)</f>
        <v>0</v>
      </c>
      <c r="AA53" s="3">
        <f>_xlfn.XLOOKUP(Table219[[#This Row],[SAPSA Number]],'CLASSIC Handgun'!B:B,'CLASSIC Handgun'!J:J)</f>
        <v>0</v>
      </c>
      <c r="AB53" s="3">
        <f>_xlfn.XLOOKUP(Table219[[#This Row],[SAPSA Number]],PCC!B:B,PCC!J:J)</f>
        <v>7</v>
      </c>
      <c r="AC53" s="3">
        <f>_xlfn.XLOOKUP(Table219[[#This Row],[SAPSA Number]],'SAOpen Rifle'!B:B,'SAOpen Rifle'!J:J)</f>
        <v>0</v>
      </c>
      <c r="AD53" s="3">
        <f>_xlfn.XLOOKUP(Table219[[#This Row],[SAPSA Number]],'SA Std Rifle'!B:B,'SA Std Rifle'!J:J)</f>
        <v>0</v>
      </c>
      <c r="AE53" s="3">
        <f>_xlfn.XLOOKUP(Table219[[#This Row],[SAPSA Number]],'STD Mini Rifle'!B:B,'STD Mini Rifle'!J:J)</f>
        <v>0</v>
      </c>
      <c r="AF53" s="3">
        <f>_xlfn.XLOOKUP(Table219[[#This Row],[SAPSA Number]],'Open Mini Rifle'!B:B,'Open Mini Rifle'!J:J)</f>
        <v>0</v>
      </c>
      <c r="AG53" s="3">
        <f>_xlfn.XLOOKUP(Table219[[#This Row],[SAPSA Number]],'SA OPEN Shotgun'!B:B,'SA OPEN Shotgun'!J:J)</f>
        <v>0</v>
      </c>
      <c r="AH53" s="3">
        <f>_xlfn.XLOOKUP(Table219[[#This Row],[SAPSA Number]],'SA STD Shotgun'!B:B,'SA STD Shotgun'!J:J)</f>
        <v>8</v>
      </c>
      <c r="AI53" s="3">
        <f>_xlfn.XLOOKUP(Table219[[#This Row],[SAPSA Number]],'MAN STD Shotgun'!B:B,'MAN STD Shotgun'!J:J)</f>
        <v>0</v>
      </c>
      <c r="AJ53" s="4">
        <f>_xlfn.XLOOKUP(Table219[[#This Row],[SAPSA Number]],'MODIFIED Shotgun'!B:B,'MODIFIED Shotgun'!J:J)</f>
        <v>0</v>
      </c>
    </row>
    <row r="54" spans="1:36" x14ac:dyDescent="0.3">
      <c r="A54" s="2">
        <v>5304</v>
      </c>
      <c r="B54" s="2" t="s">
        <v>473</v>
      </c>
      <c r="C54" s="5" t="s">
        <v>251</v>
      </c>
      <c r="D54" s="5" t="s">
        <v>252</v>
      </c>
      <c r="E54" s="3" t="s">
        <v>253</v>
      </c>
      <c r="F54" s="73" t="str">
        <f ca="1">_xlfn.XLOOKUP(Table219[[#This Row],[SAPSA Number]],Table1[SAPSA number],Table1[Gender])</f>
        <v xml:space="preserve"> </v>
      </c>
      <c r="G54" s="3">
        <f ca="1">_xlfn.XLOOKUP(Table219[[#This Row],[SAPSA Number]],Table1[SAPSA number],Table1[Age])</f>
        <v>41</v>
      </c>
      <c r="H54" s="3">
        <v>-21</v>
      </c>
      <c r="I54" s="3">
        <f>SUM(Table219[[#This Row],[Club Points]:[League Points Earned - Dec]])</f>
        <v>20</v>
      </c>
      <c r="J5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10</v>
      </c>
      <c r="K54" s="3">
        <v>2</v>
      </c>
      <c r="L54" s="3">
        <v>2</v>
      </c>
      <c r="M54" s="3"/>
      <c r="N54" s="3">
        <v>2</v>
      </c>
      <c r="O54" s="3"/>
      <c r="P54" s="3"/>
      <c r="Q54" s="3"/>
      <c r="R54" s="3">
        <v>2</v>
      </c>
      <c r="S54" s="3">
        <v>2</v>
      </c>
      <c r="T54" s="3"/>
      <c r="U54" s="3"/>
      <c r="V54" s="3"/>
      <c r="W54" s="3">
        <f>_xlfn.XLOOKUP(Table219[[#This Row],[SAPSA Number]],'STD Handgun'!B:B,'STD Handgun'!J:J)</f>
        <v>0</v>
      </c>
      <c r="X54" s="3">
        <f>_xlfn.XLOOKUP(Table219[[#This Row],[SAPSA Number]],'PROD OPTICS Handgun'!B:B,'PROD OPTICS Handgun'!J:J)</f>
        <v>0</v>
      </c>
      <c r="Y54" s="3">
        <f>_xlfn.XLOOKUP(Table219[[#This Row],[SAPSA Number]],'PROD Handgun'!B:B,'PROD Handgun'!J:J)</f>
        <v>5</v>
      </c>
      <c r="Z54" s="3">
        <f>_xlfn.XLOOKUP(Table219[[#This Row],[SAPSA Number]],'OPEN Handgun'!B:B,'OPEN Handgun'!J:J)</f>
        <v>0</v>
      </c>
      <c r="AA54" s="3">
        <f>_xlfn.XLOOKUP(Table219[[#This Row],[SAPSA Number]],'CLASSIC Handgun'!B:B,'CLASSIC Handgun'!J:J)</f>
        <v>0</v>
      </c>
      <c r="AB54" s="3">
        <f>_xlfn.XLOOKUP(Table219[[#This Row],[SAPSA Number]],PCC!B:B,PCC!J:J)</f>
        <v>0</v>
      </c>
      <c r="AC54" s="3">
        <f>_xlfn.XLOOKUP(Table219[[#This Row],[SAPSA Number]],'SAOpen Rifle'!B:B,'SAOpen Rifle'!J:J)</f>
        <v>5</v>
      </c>
      <c r="AD54" s="3">
        <f>_xlfn.XLOOKUP(Table219[[#This Row],[SAPSA Number]],'SA Std Rifle'!B:B,'SA Std Rifle'!J:J)</f>
        <v>0</v>
      </c>
      <c r="AE54" s="3">
        <f>_xlfn.XLOOKUP(Table219[[#This Row],[SAPSA Number]],'STD Mini Rifle'!B:B,'STD Mini Rifle'!J:J)</f>
        <v>0</v>
      </c>
      <c r="AF54" s="3">
        <f>_xlfn.XLOOKUP(Table219[[#This Row],[SAPSA Number]],'Open Mini Rifle'!B:B,'Open Mini Rifle'!J:J)</f>
        <v>0</v>
      </c>
      <c r="AG54" s="3">
        <f>_xlfn.XLOOKUP(Table219[[#This Row],[SAPSA Number]],'SA OPEN Shotgun'!B:B,'SA OPEN Shotgun'!J:J)</f>
        <v>0</v>
      </c>
      <c r="AH54" s="3">
        <f>_xlfn.XLOOKUP(Table219[[#This Row],[SAPSA Number]],'SA STD Shotgun'!B:B,'SA STD Shotgun'!J:J)</f>
        <v>0</v>
      </c>
      <c r="AI54" s="3">
        <f>_xlfn.XLOOKUP(Table219[[#This Row],[SAPSA Number]],'MAN STD Shotgun'!B:B,'MAN STD Shotgun'!J:J)</f>
        <v>0</v>
      </c>
      <c r="AJ54" s="4">
        <f>_xlfn.XLOOKUP(Table219[[#This Row],[SAPSA Number]],'MODIFIED Shotgun'!B:B,'MODIFIED Shotgun'!J:J)</f>
        <v>0</v>
      </c>
    </row>
    <row r="55" spans="1:36" x14ac:dyDescent="0.3">
      <c r="A55" s="2">
        <v>5616</v>
      </c>
      <c r="B55" s="2" t="s">
        <v>473</v>
      </c>
      <c r="C55" s="5" t="s">
        <v>42</v>
      </c>
      <c r="D55" s="5" t="s">
        <v>43</v>
      </c>
      <c r="E55" s="3" t="s">
        <v>44</v>
      </c>
      <c r="F55" s="73" t="str">
        <f ca="1">_xlfn.XLOOKUP(Table219[[#This Row],[SAPSA Number]],Table1[SAPSA number],Table1[Gender])</f>
        <v xml:space="preserve"> </v>
      </c>
      <c r="G55" s="3">
        <f ca="1">_xlfn.XLOOKUP(Table219[[#This Row],[SAPSA Number]],Table1[SAPSA number],Table1[Age])</f>
        <v>38</v>
      </c>
      <c r="H55" s="3">
        <v>-20</v>
      </c>
      <c r="I55" s="3">
        <f>SUM(Table219[[#This Row],[Club Points]:[League Points Earned - Dec]])</f>
        <v>5</v>
      </c>
      <c r="J5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3</v>
      </c>
      <c r="K55" s="3"/>
      <c r="L55" s="3"/>
      <c r="M55" s="3"/>
      <c r="N55" s="3"/>
      <c r="O55" s="3"/>
      <c r="P55" s="3"/>
      <c r="Q55" s="3">
        <v>2</v>
      </c>
      <c r="R55" s="3"/>
      <c r="S55" s="3"/>
      <c r="T55" s="3"/>
      <c r="U55" s="3"/>
      <c r="V55" s="3"/>
      <c r="W55" s="3">
        <f>_xlfn.XLOOKUP(Table219[[#This Row],[SAPSA Number]],'STD Handgun'!B:B,'STD Handgun'!J:J)</f>
        <v>0</v>
      </c>
      <c r="X55" s="3">
        <f>_xlfn.XLOOKUP(Table219[[#This Row],[SAPSA Number]],'PROD OPTICS Handgun'!B:B,'PROD OPTICS Handgun'!J:J)</f>
        <v>0</v>
      </c>
      <c r="Y55" s="3">
        <f>_xlfn.XLOOKUP(Table219[[#This Row],[SAPSA Number]],'PROD Handgun'!B:B,'PROD Handgun'!J:J)</f>
        <v>0</v>
      </c>
      <c r="Z55" s="3">
        <f>_xlfn.XLOOKUP(Table219[[#This Row],[SAPSA Number]],'OPEN Handgun'!B:B,'OPEN Handgun'!J:J)</f>
        <v>0</v>
      </c>
      <c r="AA55" s="3">
        <f>_xlfn.XLOOKUP(Table219[[#This Row],[SAPSA Number]],'CLASSIC Handgun'!B:B,'CLASSIC Handgun'!J:J)</f>
        <v>1</v>
      </c>
      <c r="AB55" s="3">
        <f>_xlfn.XLOOKUP(Table219[[#This Row],[SAPSA Number]],PCC!B:B,PCC!J:J)</f>
        <v>2</v>
      </c>
      <c r="AC55" s="3">
        <f>_xlfn.XLOOKUP(Table219[[#This Row],[SAPSA Number]],'SAOpen Rifle'!B:B,'SAOpen Rifle'!J:J)</f>
        <v>0</v>
      </c>
      <c r="AD55" s="3">
        <f>_xlfn.XLOOKUP(Table219[[#This Row],[SAPSA Number]],'SA Std Rifle'!B:B,'SA Std Rifle'!J:J)</f>
        <v>0</v>
      </c>
      <c r="AE55" s="3">
        <f>_xlfn.XLOOKUP(Table219[[#This Row],[SAPSA Number]],'STD Mini Rifle'!B:B,'STD Mini Rifle'!J:J)</f>
        <v>0</v>
      </c>
      <c r="AF55" s="3">
        <f>_xlfn.XLOOKUP(Table219[[#This Row],[SAPSA Number]],'Open Mini Rifle'!B:B,'Open Mini Rifle'!J:J)</f>
        <v>0</v>
      </c>
      <c r="AG55" s="3">
        <f>_xlfn.XLOOKUP(Table219[[#This Row],[SAPSA Number]],'SA OPEN Shotgun'!B:B,'SA OPEN Shotgun'!J:J)</f>
        <v>0</v>
      </c>
      <c r="AH55" s="3">
        <f>_xlfn.XLOOKUP(Table219[[#This Row],[SAPSA Number]],'SA STD Shotgun'!B:B,'SA STD Shotgun'!J:J)</f>
        <v>0</v>
      </c>
      <c r="AI55" s="3">
        <f>_xlfn.XLOOKUP(Table219[[#This Row],[SAPSA Number]],'MAN STD Shotgun'!B:B,'MAN STD Shotgun'!J:J)</f>
        <v>0</v>
      </c>
      <c r="AJ55" s="4">
        <f>_xlfn.XLOOKUP(Table219[[#This Row],[SAPSA Number]],'MODIFIED Shotgun'!B:B,'MODIFIED Shotgun'!J:J)</f>
        <v>0</v>
      </c>
    </row>
    <row r="56" spans="1:36" x14ac:dyDescent="0.3">
      <c r="A56" s="2">
        <v>5804</v>
      </c>
      <c r="B56" s="2" t="str">
        <f>_xlfn.XLOOKUP(Table219[[#This Row],[SAPSA Number]],Table1[SAPSA number],Table1[Paid up])</f>
        <v>Y</v>
      </c>
      <c r="C56" s="5" t="s">
        <v>270</v>
      </c>
      <c r="D56" s="5" t="s">
        <v>271</v>
      </c>
      <c r="E56" s="3" t="s">
        <v>272</v>
      </c>
      <c r="F56" s="73" t="str">
        <f ca="1">_xlfn.XLOOKUP(Table219[[#This Row],[SAPSA Number]],Table1[SAPSA number],Table1[Gender])</f>
        <v xml:space="preserve"> </v>
      </c>
      <c r="G56" s="3">
        <f ca="1">_xlfn.XLOOKUP(Table219[[#This Row],[SAPSA Number]],Table1[SAPSA number],Table1[Age])</f>
        <v>47</v>
      </c>
      <c r="H56" s="3">
        <v>-19</v>
      </c>
      <c r="I56" s="3">
        <f>SUM(Table219[[#This Row],[Club Points]:[League Points Earned - Dec]])</f>
        <v>7</v>
      </c>
      <c r="J5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7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>
        <f>_xlfn.XLOOKUP(Table219[[#This Row],[SAPSA Number]],'STD Handgun'!B:B,'STD Handgun'!J:J)</f>
        <v>0</v>
      </c>
      <c r="X56" s="3">
        <f>_xlfn.XLOOKUP(Table219[[#This Row],[SAPSA Number]],'PROD OPTICS Handgun'!B:B,'PROD OPTICS Handgun'!J:J)</f>
        <v>0</v>
      </c>
      <c r="Y56" s="3">
        <f>_xlfn.XLOOKUP(Table219[[#This Row],[SAPSA Number]],'PROD Handgun'!B:B,'PROD Handgun'!J:J)</f>
        <v>0</v>
      </c>
      <c r="Z56" s="3">
        <f>_xlfn.XLOOKUP(Table219[[#This Row],[SAPSA Number]],'OPEN Handgun'!B:B,'OPEN Handgun'!J:J)</f>
        <v>0</v>
      </c>
      <c r="AA56" s="3">
        <f>_xlfn.XLOOKUP(Table219[[#This Row],[SAPSA Number]],'CLASSIC Handgun'!B:B,'CLASSIC Handgun'!J:J)</f>
        <v>0</v>
      </c>
      <c r="AB56" s="3">
        <f>_xlfn.XLOOKUP(Table219[[#This Row],[SAPSA Number]],PCC!B:B,PCC!J:J)</f>
        <v>0</v>
      </c>
      <c r="AC56" s="3">
        <f>_xlfn.XLOOKUP(Table219[[#This Row],[SAPSA Number]],'SAOpen Rifle'!B:B,'SAOpen Rifle'!J:J)</f>
        <v>1</v>
      </c>
      <c r="AD56" s="3">
        <f>_xlfn.XLOOKUP(Table219[[#This Row],[SAPSA Number]],'SA Std Rifle'!B:B,'SA Std Rifle'!J:J)</f>
        <v>1</v>
      </c>
      <c r="AE56" s="3">
        <f>_xlfn.XLOOKUP(Table219[[#This Row],[SAPSA Number]],'STD Mini Rifle'!B:B,'STD Mini Rifle'!J:J)</f>
        <v>0</v>
      </c>
      <c r="AF56" s="3">
        <f>_xlfn.XLOOKUP(Table219[[#This Row],[SAPSA Number]],'Open Mini Rifle'!B:B,'Open Mini Rifle'!J:J)</f>
        <v>5</v>
      </c>
      <c r="AG56" s="3">
        <f>_xlfn.XLOOKUP(Table219[[#This Row],[SAPSA Number]],'SA OPEN Shotgun'!B:B,'SA OPEN Shotgun'!J:J)</f>
        <v>0</v>
      </c>
      <c r="AH56" s="3">
        <f>_xlfn.XLOOKUP(Table219[[#This Row],[SAPSA Number]],'SA STD Shotgun'!B:B,'SA STD Shotgun'!J:J)</f>
        <v>0</v>
      </c>
      <c r="AI56" s="3">
        <f>_xlfn.XLOOKUP(Table219[[#This Row],[SAPSA Number]],'MAN STD Shotgun'!B:B,'MAN STD Shotgun'!J:J)</f>
        <v>0</v>
      </c>
      <c r="AJ56" s="4">
        <f>_xlfn.XLOOKUP(Table219[[#This Row],[SAPSA Number]],'MODIFIED Shotgun'!B:B,'MODIFIED Shotgun'!J:J)</f>
        <v>0</v>
      </c>
    </row>
    <row r="57" spans="1:36" x14ac:dyDescent="0.3">
      <c r="A57" s="2">
        <v>5971</v>
      </c>
      <c r="B57" s="2" t="s">
        <v>473</v>
      </c>
      <c r="C57" s="5" t="s">
        <v>89</v>
      </c>
      <c r="D57" s="5" t="s">
        <v>18</v>
      </c>
      <c r="E57" s="3" t="s">
        <v>88</v>
      </c>
      <c r="F57" s="73" t="str">
        <f ca="1">_xlfn.XLOOKUP(Table219[[#This Row],[SAPSA Number]],Table1[SAPSA number],Table1[Gender])</f>
        <v>S</v>
      </c>
      <c r="G57" s="3">
        <f ca="1">_xlfn.XLOOKUP(Table219[[#This Row],[SAPSA Number]],Table1[SAPSA number],Table1[Age])</f>
        <v>51</v>
      </c>
      <c r="H57" s="3">
        <v>-18</v>
      </c>
      <c r="I57" s="3">
        <f>SUM(Table219[[#This Row],[Club Points]:[League Points Earned - Dec]])</f>
        <v>10</v>
      </c>
      <c r="J5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8</v>
      </c>
      <c r="K57" s="3"/>
      <c r="L57" s="3"/>
      <c r="M57" s="3"/>
      <c r="N57" s="3"/>
      <c r="O57" s="3"/>
      <c r="P57" s="3"/>
      <c r="Q57" s="3">
        <v>2</v>
      </c>
      <c r="R57" s="3"/>
      <c r="S57" s="3"/>
      <c r="T57" s="3"/>
      <c r="U57" s="3"/>
      <c r="V57" s="3"/>
      <c r="W57" s="3">
        <f>_xlfn.XLOOKUP(Table219[[#This Row],[SAPSA Number]],'STD Handgun'!B:B,'STD Handgun'!J:J)</f>
        <v>0</v>
      </c>
      <c r="X57" s="3">
        <f>_xlfn.XLOOKUP(Table219[[#This Row],[SAPSA Number]],'PROD OPTICS Handgun'!B:B,'PROD OPTICS Handgun'!J:J)</f>
        <v>0</v>
      </c>
      <c r="Y57" s="3">
        <f>_xlfn.XLOOKUP(Table219[[#This Row],[SAPSA Number]],'PROD Handgun'!B:B,'PROD Handgun'!J:J)</f>
        <v>0</v>
      </c>
      <c r="Z57" s="3">
        <f>_xlfn.XLOOKUP(Table219[[#This Row],[SAPSA Number]],'OPEN Handgun'!B:B,'OPEN Handgun'!J:J)</f>
        <v>0</v>
      </c>
      <c r="AA57" s="3">
        <f>_xlfn.XLOOKUP(Table219[[#This Row],[SAPSA Number]],'CLASSIC Handgun'!B:B,'CLASSIC Handgun'!J:J)</f>
        <v>0</v>
      </c>
      <c r="AB57" s="3">
        <f>_xlfn.XLOOKUP(Table219[[#This Row],[SAPSA Number]],PCC!B:B,PCC!J:J)</f>
        <v>2</v>
      </c>
      <c r="AC57" s="3">
        <f>_xlfn.XLOOKUP(Table219[[#This Row],[SAPSA Number]],'SAOpen Rifle'!B:B,'SAOpen Rifle'!J:J)</f>
        <v>0</v>
      </c>
      <c r="AD57" s="3">
        <f>_xlfn.XLOOKUP(Table219[[#This Row],[SAPSA Number]],'SA Std Rifle'!B:B,'SA Std Rifle'!J:J)</f>
        <v>0</v>
      </c>
      <c r="AE57" s="3">
        <f>_xlfn.XLOOKUP(Table219[[#This Row],[SAPSA Number]],'STD Mini Rifle'!B:B,'STD Mini Rifle'!J:J)</f>
        <v>0</v>
      </c>
      <c r="AF57" s="3">
        <f>_xlfn.XLOOKUP(Table219[[#This Row],[SAPSA Number]],'Open Mini Rifle'!B:B,'Open Mini Rifle'!J:J)</f>
        <v>0</v>
      </c>
      <c r="AG57" s="3">
        <f>_xlfn.XLOOKUP(Table219[[#This Row],[SAPSA Number]],'SA OPEN Shotgun'!B:B,'SA OPEN Shotgun'!J:J)</f>
        <v>6</v>
      </c>
      <c r="AH57" s="3">
        <f>_xlfn.XLOOKUP(Table219[[#This Row],[SAPSA Number]],'SA STD Shotgun'!B:B,'SA STD Shotgun'!J:J)</f>
        <v>0</v>
      </c>
      <c r="AI57" s="3">
        <f>_xlfn.XLOOKUP(Table219[[#This Row],[SAPSA Number]],'MAN STD Shotgun'!B:B,'MAN STD Shotgun'!J:J)</f>
        <v>0</v>
      </c>
      <c r="AJ57" s="4">
        <f>_xlfn.XLOOKUP(Table219[[#This Row],[SAPSA Number]],'MODIFIED Shotgun'!B:B,'MODIFIED Shotgun'!J:J)</f>
        <v>0</v>
      </c>
    </row>
    <row r="58" spans="1:36" x14ac:dyDescent="0.3">
      <c r="A58" s="2">
        <v>6308</v>
      </c>
      <c r="B58" s="2">
        <f>_xlfn.XLOOKUP(Table219[[#This Row],[SAPSA Number]],Table1[SAPSA number],Table1[Paid up])</f>
        <v>0</v>
      </c>
      <c r="C58" s="5" t="s">
        <v>246</v>
      </c>
      <c r="D58" s="5" t="s">
        <v>83</v>
      </c>
      <c r="E58" s="3" t="s">
        <v>115</v>
      </c>
      <c r="F58" s="73" t="str">
        <f ca="1">_xlfn.XLOOKUP(Table219[[#This Row],[SAPSA Number]],Table1[SAPSA number],Table1[Gender])</f>
        <v>Jnr</v>
      </c>
      <c r="G58" s="3">
        <f ca="1">_xlfn.XLOOKUP(Table219[[#This Row],[SAPSA Number]],Table1[SAPSA number],Table1[Age])</f>
        <v>20</v>
      </c>
      <c r="H58" s="3">
        <v>-16</v>
      </c>
      <c r="I58" s="3">
        <f>SUM(Table219[[#This Row],[Club Points]:[League Points Earned - Dec]])</f>
        <v>0</v>
      </c>
      <c r="J5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>
        <f>_xlfn.XLOOKUP(Table219[[#This Row],[SAPSA Number]],'STD Handgun'!B:B,'STD Handgun'!J:J)</f>
        <v>0</v>
      </c>
      <c r="X58" s="3">
        <f>_xlfn.XLOOKUP(Table219[[#This Row],[SAPSA Number]],'PROD OPTICS Handgun'!B:B,'PROD OPTICS Handgun'!J:J)</f>
        <v>0</v>
      </c>
      <c r="Y58" s="3">
        <f>_xlfn.XLOOKUP(Table219[[#This Row],[SAPSA Number]],'PROD Handgun'!B:B,'PROD Handgun'!J:J)</f>
        <v>0</v>
      </c>
      <c r="Z58" s="3">
        <f>_xlfn.XLOOKUP(Table219[[#This Row],[SAPSA Number]],'OPEN Handgun'!B:B,'OPEN Handgun'!J:J)</f>
        <v>0</v>
      </c>
      <c r="AA58" s="3">
        <f>_xlfn.XLOOKUP(Table219[[#This Row],[SAPSA Number]],'CLASSIC Handgun'!B:B,'CLASSIC Handgun'!J:J)</f>
        <v>0</v>
      </c>
      <c r="AB58" s="3">
        <f>_xlfn.XLOOKUP(Table219[[#This Row],[SAPSA Number]],PCC!B:B,PCC!J:J)</f>
        <v>0</v>
      </c>
      <c r="AC58" s="3">
        <f>_xlfn.XLOOKUP(Table219[[#This Row],[SAPSA Number]],'SAOpen Rifle'!B:B,'SAOpen Rifle'!J:J)</f>
        <v>0</v>
      </c>
      <c r="AD58" s="3">
        <f>_xlfn.XLOOKUP(Table219[[#This Row],[SAPSA Number]],'SA Std Rifle'!B:B,'SA Std Rifle'!J:J)</f>
        <v>0</v>
      </c>
      <c r="AE58" s="3">
        <f>_xlfn.XLOOKUP(Table219[[#This Row],[SAPSA Number]],'STD Mini Rifle'!B:B,'STD Mini Rifle'!J:J)</f>
        <v>0</v>
      </c>
      <c r="AF58" s="3">
        <f>_xlfn.XLOOKUP(Table219[[#This Row],[SAPSA Number]],'Open Mini Rifle'!B:B,'Open Mini Rifle'!J:J)</f>
        <v>0</v>
      </c>
      <c r="AG58" s="3">
        <f>_xlfn.XLOOKUP(Table219[[#This Row],[SAPSA Number]],'SA OPEN Shotgun'!B:B,'SA OPEN Shotgun'!J:J)</f>
        <v>0</v>
      </c>
      <c r="AH58" s="3">
        <f>_xlfn.XLOOKUP(Table219[[#This Row],[SAPSA Number]],'SA STD Shotgun'!B:B,'SA STD Shotgun'!J:J)</f>
        <v>0</v>
      </c>
      <c r="AI58" s="3">
        <f>_xlfn.XLOOKUP(Table219[[#This Row],[SAPSA Number]],'MAN STD Shotgun'!B:B,'MAN STD Shotgun'!J:J)</f>
        <v>0</v>
      </c>
      <c r="AJ58" s="4">
        <f>_xlfn.XLOOKUP(Table219[[#This Row],[SAPSA Number]],'MODIFIED Shotgun'!B:B,'MODIFIED Shotgun'!J:J)</f>
        <v>0</v>
      </c>
    </row>
    <row r="59" spans="1:36" x14ac:dyDescent="0.3">
      <c r="A59" s="2">
        <v>6564</v>
      </c>
      <c r="B59" s="2" t="str">
        <f>_xlfn.XLOOKUP(Table219[[#This Row],[SAPSA Number]],Table1[SAPSA number],Table1[Paid up])</f>
        <v>Y</v>
      </c>
      <c r="C59" s="5" t="s">
        <v>265</v>
      </c>
      <c r="D59" s="5" t="s">
        <v>262</v>
      </c>
      <c r="E59" s="3" t="s">
        <v>266</v>
      </c>
      <c r="F59" s="73" t="str">
        <f ca="1">_xlfn.XLOOKUP(Table219[[#This Row],[SAPSA Number]],Table1[SAPSA number],Table1[Gender])</f>
        <v xml:space="preserve"> </v>
      </c>
      <c r="G59" s="3">
        <f ca="1">_xlfn.XLOOKUP(Table219[[#This Row],[SAPSA Number]],Table1[SAPSA number],Table1[Age])</f>
        <v>41</v>
      </c>
      <c r="H59" s="3">
        <v>-15</v>
      </c>
      <c r="I59" s="3">
        <f>SUM(Table219[[#This Row],[Club Points]:[League Points Earned - Dec]])</f>
        <v>19</v>
      </c>
      <c r="J5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59" s="3"/>
      <c r="L59" s="3">
        <v>5</v>
      </c>
      <c r="M59" s="3">
        <v>2</v>
      </c>
      <c r="N59" s="3">
        <v>2</v>
      </c>
      <c r="O59" s="3">
        <v>2</v>
      </c>
      <c r="P59" s="3">
        <v>2</v>
      </c>
      <c r="Q59" s="3">
        <v>2</v>
      </c>
      <c r="R59" s="3"/>
      <c r="S59" s="3"/>
      <c r="T59" s="3">
        <v>4</v>
      </c>
      <c r="U59" s="3"/>
      <c r="V59" s="3"/>
      <c r="W59" s="3">
        <f>_xlfn.XLOOKUP(Table219[[#This Row],[SAPSA Number]],'STD Handgun'!B:B,'STD Handgun'!J:J)</f>
        <v>0</v>
      </c>
      <c r="X59" s="3">
        <f>_xlfn.XLOOKUP(Table219[[#This Row],[SAPSA Number]],'PROD OPTICS Handgun'!B:B,'PROD OPTICS Handgun'!J:J)</f>
        <v>0</v>
      </c>
      <c r="Y59" s="3">
        <f>_xlfn.XLOOKUP(Table219[[#This Row],[SAPSA Number]],'PROD Handgun'!B:B,'PROD Handgun'!J:J)</f>
        <v>0</v>
      </c>
      <c r="Z59" s="3">
        <f>_xlfn.XLOOKUP(Table219[[#This Row],[SAPSA Number]],'OPEN Handgun'!B:B,'OPEN Handgun'!J:J)</f>
        <v>0</v>
      </c>
      <c r="AA59" s="3">
        <f>_xlfn.XLOOKUP(Table219[[#This Row],[SAPSA Number]],'CLASSIC Handgun'!B:B,'CLASSIC Handgun'!J:J)</f>
        <v>0</v>
      </c>
      <c r="AB59" s="3">
        <f>_xlfn.XLOOKUP(Table219[[#This Row],[SAPSA Number]],PCC!B:B,PCC!J:J)</f>
        <v>0</v>
      </c>
      <c r="AC59" s="3">
        <f>_xlfn.XLOOKUP(Table219[[#This Row],[SAPSA Number]],'SAOpen Rifle'!B:B,'SAOpen Rifle'!J:J)</f>
        <v>0</v>
      </c>
      <c r="AD59" s="3">
        <f>_xlfn.XLOOKUP(Table219[[#This Row],[SAPSA Number]],'SA Std Rifle'!B:B,'SA Std Rifle'!J:J)</f>
        <v>0</v>
      </c>
      <c r="AE59" s="3">
        <f>_xlfn.XLOOKUP(Table219[[#This Row],[SAPSA Number]],'STD Mini Rifle'!B:B,'STD Mini Rifle'!J:J)</f>
        <v>0</v>
      </c>
      <c r="AF59" s="3">
        <f>_xlfn.XLOOKUP(Table219[[#This Row],[SAPSA Number]],'Open Mini Rifle'!B:B,'Open Mini Rifle'!J:J)</f>
        <v>0</v>
      </c>
      <c r="AG59" s="3">
        <f>_xlfn.XLOOKUP(Table219[[#This Row],[SAPSA Number]],'SA OPEN Shotgun'!B:B,'SA OPEN Shotgun'!J:J)</f>
        <v>0</v>
      </c>
      <c r="AH59" s="3">
        <f>_xlfn.XLOOKUP(Table219[[#This Row],[SAPSA Number]],'SA STD Shotgun'!B:B,'SA STD Shotgun'!J:J)</f>
        <v>0</v>
      </c>
      <c r="AI59" s="3">
        <f>_xlfn.XLOOKUP(Table219[[#This Row],[SAPSA Number]],'MAN STD Shotgun'!B:B,'MAN STD Shotgun'!J:J)</f>
        <v>0</v>
      </c>
      <c r="AJ59" s="4">
        <f>_xlfn.XLOOKUP(Table219[[#This Row],[SAPSA Number]],'MODIFIED Shotgun'!B:B,'MODIFIED Shotgun'!J:J)</f>
        <v>0</v>
      </c>
    </row>
    <row r="60" spans="1:36" x14ac:dyDescent="0.3">
      <c r="A60" s="2">
        <v>6633</v>
      </c>
      <c r="B60" s="2" t="s">
        <v>473</v>
      </c>
      <c r="C60" s="5" t="s">
        <v>274</v>
      </c>
      <c r="D60" s="5" t="s">
        <v>11</v>
      </c>
      <c r="E60" s="3" t="s">
        <v>275</v>
      </c>
      <c r="F60" s="73" t="str">
        <f ca="1">_xlfn.XLOOKUP(Table219[[#This Row],[SAPSA Number]],Table1[SAPSA number],Table1[Gender])</f>
        <v xml:space="preserve"> </v>
      </c>
      <c r="G60" s="3">
        <f ca="1">_xlfn.XLOOKUP(Table219[[#This Row],[SAPSA Number]],Table1[SAPSA number],Table1[Age])</f>
        <v>25</v>
      </c>
      <c r="H60" s="3">
        <v>-14</v>
      </c>
      <c r="I60" s="3">
        <f>SUM(Table219[[#This Row],[Club Points]:[League Points Earned - Dec]])</f>
        <v>12</v>
      </c>
      <c r="J6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12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>
        <f>_xlfn.XLOOKUP(Table219[[#This Row],[SAPSA Number]],'STD Handgun'!B:B,'STD Handgun'!J:J)</f>
        <v>4</v>
      </c>
      <c r="X60" s="3">
        <f>_xlfn.XLOOKUP(Table219[[#This Row],[SAPSA Number]],'PROD OPTICS Handgun'!B:B,'PROD OPTICS Handgun'!J:J)</f>
        <v>0</v>
      </c>
      <c r="Y60" s="3">
        <f>_xlfn.XLOOKUP(Table219[[#This Row],[SAPSA Number]],'PROD Handgun'!B:B,'PROD Handgun'!J:J)</f>
        <v>0</v>
      </c>
      <c r="Z60" s="3">
        <f>_xlfn.XLOOKUP(Table219[[#This Row],[SAPSA Number]],'OPEN Handgun'!B:B,'OPEN Handgun'!J:J)</f>
        <v>0</v>
      </c>
      <c r="AA60" s="3">
        <f>_xlfn.XLOOKUP(Table219[[#This Row],[SAPSA Number]],'CLASSIC Handgun'!B:B,'CLASSIC Handgun'!J:J)</f>
        <v>0</v>
      </c>
      <c r="AB60" s="3">
        <f>_xlfn.XLOOKUP(Table219[[#This Row],[SAPSA Number]],PCC!B:B,PCC!J:J)</f>
        <v>6</v>
      </c>
      <c r="AC60" s="3">
        <f>_xlfn.XLOOKUP(Table219[[#This Row],[SAPSA Number]],'SAOpen Rifle'!B:B,'SAOpen Rifle'!J:J)</f>
        <v>2</v>
      </c>
      <c r="AD60" s="3">
        <f>_xlfn.XLOOKUP(Table219[[#This Row],[SAPSA Number]],'SA Std Rifle'!B:B,'SA Std Rifle'!J:J)</f>
        <v>0</v>
      </c>
      <c r="AE60" s="3">
        <f>_xlfn.XLOOKUP(Table219[[#This Row],[SAPSA Number]],'STD Mini Rifle'!B:B,'STD Mini Rifle'!J:J)</f>
        <v>0</v>
      </c>
      <c r="AF60" s="3">
        <f>_xlfn.XLOOKUP(Table219[[#This Row],[SAPSA Number]],'Open Mini Rifle'!B:B,'Open Mini Rifle'!J:J)</f>
        <v>0</v>
      </c>
      <c r="AG60" s="3">
        <f>_xlfn.XLOOKUP(Table219[[#This Row],[SAPSA Number]],'SA OPEN Shotgun'!B:B,'SA OPEN Shotgun'!J:J)</f>
        <v>0</v>
      </c>
      <c r="AH60" s="3">
        <f>_xlfn.XLOOKUP(Table219[[#This Row],[SAPSA Number]],'SA STD Shotgun'!B:B,'SA STD Shotgun'!J:J)</f>
        <v>0</v>
      </c>
      <c r="AI60" s="3">
        <f>_xlfn.XLOOKUP(Table219[[#This Row],[SAPSA Number]],'MAN STD Shotgun'!B:B,'MAN STD Shotgun'!J:J)</f>
        <v>0</v>
      </c>
      <c r="AJ60" s="4">
        <f>_xlfn.XLOOKUP(Table219[[#This Row],[SAPSA Number]],'MODIFIED Shotgun'!B:B,'MODIFIED Shotgun'!J:J)</f>
        <v>0</v>
      </c>
    </row>
    <row r="61" spans="1:36" x14ac:dyDescent="0.3">
      <c r="A61" s="2">
        <v>6846</v>
      </c>
      <c r="B61" s="2" t="s">
        <v>473</v>
      </c>
      <c r="C61" s="5" t="s">
        <v>285</v>
      </c>
      <c r="D61" s="5" t="s">
        <v>282</v>
      </c>
      <c r="E61" s="3" t="s">
        <v>283</v>
      </c>
      <c r="F61" s="73" t="str">
        <f ca="1">_xlfn.XLOOKUP(Table219[[#This Row],[SAPSA Number]],Table1[SAPSA number],Table1[Gender])</f>
        <v xml:space="preserve"> </v>
      </c>
      <c r="G61" s="3">
        <f ca="1">_xlfn.XLOOKUP(Table219[[#This Row],[SAPSA Number]],Table1[SAPSA number],Table1[Age])</f>
        <v>42</v>
      </c>
      <c r="H61" s="3">
        <v>-12</v>
      </c>
      <c r="I61" s="3">
        <f>SUM(Table219[[#This Row],[Club Points]:[League Points Earned - Dec]])</f>
        <v>4</v>
      </c>
      <c r="J61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4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>
        <f>_xlfn.XLOOKUP(Table219[[#This Row],[SAPSA Number]],'STD Handgun'!B:B,'STD Handgun'!J:J)</f>
        <v>0</v>
      </c>
      <c r="X61" s="3">
        <f>_xlfn.XLOOKUP(Table219[[#This Row],[SAPSA Number]],'PROD OPTICS Handgun'!B:B,'PROD OPTICS Handgun'!J:J)</f>
        <v>0</v>
      </c>
      <c r="Y61" s="3">
        <f>_xlfn.XLOOKUP(Table219[[#This Row],[SAPSA Number]],'PROD Handgun'!B:B,'PROD Handgun'!J:J)</f>
        <v>2</v>
      </c>
      <c r="Z61" s="3">
        <f>_xlfn.XLOOKUP(Table219[[#This Row],[SAPSA Number]],'OPEN Handgun'!B:B,'OPEN Handgun'!J:J)</f>
        <v>0</v>
      </c>
      <c r="AA61" s="3">
        <f>_xlfn.XLOOKUP(Table219[[#This Row],[SAPSA Number]],'CLASSIC Handgun'!B:B,'CLASSIC Handgun'!J:J)</f>
        <v>0</v>
      </c>
      <c r="AB61" s="3">
        <f>_xlfn.XLOOKUP(Table219[[#This Row],[SAPSA Number]],PCC!B:B,PCC!J:J)</f>
        <v>0</v>
      </c>
      <c r="AC61" s="3">
        <f>_xlfn.XLOOKUP(Table219[[#This Row],[SAPSA Number]],'SAOpen Rifle'!B:B,'SAOpen Rifle'!J:J)</f>
        <v>0</v>
      </c>
      <c r="AD61" s="3">
        <f>_xlfn.XLOOKUP(Table219[[#This Row],[SAPSA Number]],'SA Std Rifle'!B:B,'SA Std Rifle'!J:J)</f>
        <v>2</v>
      </c>
      <c r="AE61" s="3">
        <f>_xlfn.XLOOKUP(Table219[[#This Row],[SAPSA Number]],'STD Mini Rifle'!B:B,'STD Mini Rifle'!J:J)</f>
        <v>0</v>
      </c>
      <c r="AF61" s="3">
        <f>_xlfn.XLOOKUP(Table219[[#This Row],[SAPSA Number]],'Open Mini Rifle'!B:B,'Open Mini Rifle'!J:J)</f>
        <v>0</v>
      </c>
      <c r="AG61" s="3">
        <f>_xlfn.XLOOKUP(Table219[[#This Row],[SAPSA Number]],'SA OPEN Shotgun'!B:B,'SA OPEN Shotgun'!J:J)</f>
        <v>0</v>
      </c>
      <c r="AH61" s="3">
        <f>_xlfn.XLOOKUP(Table219[[#This Row],[SAPSA Number]],'SA STD Shotgun'!B:B,'SA STD Shotgun'!J:J)</f>
        <v>0</v>
      </c>
      <c r="AI61" s="3">
        <f>_xlfn.XLOOKUP(Table219[[#This Row],[SAPSA Number]],'MAN STD Shotgun'!B:B,'MAN STD Shotgun'!J:J)</f>
        <v>0</v>
      </c>
      <c r="AJ61" s="4">
        <f>_xlfn.XLOOKUP(Table219[[#This Row],[SAPSA Number]],'MODIFIED Shotgun'!B:B,'MODIFIED Shotgun'!J:J)</f>
        <v>0</v>
      </c>
    </row>
    <row r="62" spans="1:36" x14ac:dyDescent="0.3">
      <c r="A62" s="2">
        <v>6966</v>
      </c>
      <c r="B62" s="2" t="str">
        <f>_xlfn.XLOOKUP(Table219[[#This Row],[SAPSA Number]],Table1[SAPSA number],Table1[Paid up])</f>
        <v>Y</v>
      </c>
      <c r="C62" s="5" t="s">
        <v>438</v>
      </c>
      <c r="D62" s="5" t="s">
        <v>439</v>
      </c>
      <c r="E62" s="3" t="s">
        <v>107</v>
      </c>
      <c r="F62" s="72" t="str">
        <f ca="1">_xlfn.XLOOKUP(Table219[[#This Row],[SAPSA Number]],Table1[SAPSA number],Table1[Gender])</f>
        <v>S</v>
      </c>
      <c r="G62" s="2">
        <f ca="1">_xlfn.XLOOKUP(Table219[[#This Row],[SAPSA Number]],Table1[SAPSA number],Table1[Age])</f>
        <v>51</v>
      </c>
      <c r="H62" s="3">
        <v>-9</v>
      </c>
      <c r="I62" s="3">
        <f>SUM(Table219[[#This Row],[Club Points]:[League Points Earned - Dec]])</f>
        <v>1</v>
      </c>
      <c r="J62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>
        <f>_xlfn.XLOOKUP(Table219[[#This Row],[SAPSA Number]],'STD Handgun'!B:B,'STD Handgun'!J:J)</f>
        <v>0</v>
      </c>
      <c r="X62" s="3">
        <f>_xlfn.XLOOKUP(Table219[[#This Row],[SAPSA Number]],'PROD OPTICS Handgun'!B:B,'PROD OPTICS Handgun'!J:J)</f>
        <v>0</v>
      </c>
      <c r="Y62" s="3">
        <f>_xlfn.XLOOKUP(Table219[[#This Row],[SAPSA Number]],'PROD Handgun'!B:B,'PROD Handgun'!J:J)</f>
        <v>1</v>
      </c>
      <c r="Z62" s="3">
        <f>_xlfn.XLOOKUP(Table219[[#This Row],[SAPSA Number]],'OPEN Handgun'!B:B,'OPEN Handgun'!J:J)</f>
        <v>0</v>
      </c>
      <c r="AA62" s="3">
        <f>_xlfn.XLOOKUP(Table219[[#This Row],[SAPSA Number]],'CLASSIC Handgun'!B:B,'CLASSIC Handgun'!J:J)</f>
        <v>0</v>
      </c>
      <c r="AB62" s="3">
        <f>_xlfn.XLOOKUP(Table219[[#This Row],[SAPSA Number]],PCC!B:B,PCC!J:J)</f>
        <v>0</v>
      </c>
      <c r="AC62" s="3">
        <f>_xlfn.XLOOKUP(Table219[[#This Row],[SAPSA Number]],'SAOpen Rifle'!B:B,'SAOpen Rifle'!J:J)</f>
        <v>0</v>
      </c>
      <c r="AD62" s="3">
        <f>_xlfn.XLOOKUP(Table219[[#This Row],[SAPSA Number]],'SA Std Rifle'!B:B,'SA Std Rifle'!J:J)</f>
        <v>0</v>
      </c>
      <c r="AE62" s="3">
        <f>_xlfn.XLOOKUP(Table219[[#This Row],[SAPSA Number]],'STD Mini Rifle'!B:B,'STD Mini Rifle'!J:J)</f>
        <v>0</v>
      </c>
      <c r="AF62" s="3">
        <f>_xlfn.XLOOKUP(Table219[[#This Row],[SAPSA Number]],'Open Mini Rifle'!B:B,'Open Mini Rifle'!J:J)</f>
        <v>0</v>
      </c>
      <c r="AG62" s="3">
        <f>_xlfn.XLOOKUP(Table219[[#This Row],[SAPSA Number]],'SA OPEN Shotgun'!B:B,'SA OPEN Shotgun'!J:J)</f>
        <v>0</v>
      </c>
      <c r="AH62" s="3">
        <f>_xlfn.XLOOKUP(Table219[[#This Row],[SAPSA Number]],'SA STD Shotgun'!B:B,'SA STD Shotgun'!J:J)</f>
        <v>0</v>
      </c>
      <c r="AI62" s="3">
        <f>_xlfn.XLOOKUP(Table219[[#This Row],[SAPSA Number]],'MAN STD Shotgun'!B:B,'MAN STD Shotgun'!J:J)</f>
        <v>0</v>
      </c>
      <c r="AJ62" s="4">
        <f>_xlfn.XLOOKUP(Table219[[#This Row],[SAPSA Number]],'MODIFIED Shotgun'!B:B,'MODIFIED Shotgun'!J:J)</f>
        <v>0</v>
      </c>
    </row>
    <row r="63" spans="1:36" x14ac:dyDescent="0.3">
      <c r="A63" s="2">
        <v>6968</v>
      </c>
      <c r="B63" s="2" t="str">
        <f>_xlfn.XLOOKUP(Table219[[#This Row],[SAPSA Number]],Table1[SAPSA number],Table1[Paid up])</f>
        <v>Y</v>
      </c>
      <c r="C63" s="5" t="s">
        <v>441</v>
      </c>
      <c r="D63" s="5" t="s">
        <v>442</v>
      </c>
      <c r="E63" s="3" t="s">
        <v>443</v>
      </c>
      <c r="F63" s="72" t="str">
        <f ca="1">_xlfn.XLOOKUP(Table219[[#This Row],[SAPSA Number]],Table1[SAPSA number],Table1[Gender])</f>
        <v xml:space="preserve"> </v>
      </c>
      <c r="G63" s="2">
        <f ca="1">_xlfn.XLOOKUP(Table219[[#This Row],[SAPSA Number]],Table1[SAPSA number],Table1[Age])</f>
        <v>45</v>
      </c>
      <c r="H63" s="3">
        <v>-8</v>
      </c>
      <c r="I63" s="3">
        <f>SUM(Table219[[#This Row],[Club Points]:[League Points Earned - Dec]])</f>
        <v>9</v>
      </c>
      <c r="J63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5</v>
      </c>
      <c r="K63" s="3"/>
      <c r="L63" s="3"/>
      <c r="M63" s="3"/>
      <c r="N63" s="3"/>
      <c r="O63" s="3">
        <v>2</v>
      </c>
      <c r="P63" s="3"/>
      <c r="Q63" s="3">
        <v>2</v>
      </c>
      <c r="R63" s="3"/>
      <c r="S63" s="3"/>
      <c r="T63" s="3"/>
      <c r="U63" s="3"/>
      <c r="V63" s="3"/>
      <c r="W63" s="3">
        <f>_xlfn.XLOOKUP(Table219[[#This Row],[SAPSA Number]],'STD Handgun'!B:B,'STD Handgun'!J:J)</f>
        <v>0</v>
      </c>
      <c r="X63" s="3">
        <f>_xlfn.XLOOKUP(Table219[[#This Row],[SAPSA Number]],'PROD OPTICS Handgun'!B:B,'PROD OPTICS Handgun'!J:J)</f>
        <v>1</v>
      </c>
      <c r="Y63" s="3">
        <f>_xlfn.XLOOKUP(Table219[[#This Row],[SAPSA Number]],'PROD Handgun'!B:B,'PROD Handgun'!J:J)</f>
        <v>0</v>
      </c>
      <c r="Z63" s="3">
        <f>_xlfn.XLOOKUP(Table219[[#This Row],[SAPSA Number]],'OPEN Handgun'!B:B,'OPEN Handgun'!J:J)</f>
        <v>0</v>
      </c>
      <c r="AA63" s="3">
        <f>_xlfn.XLOOKUP(Table219[[#This Row],[SAPSA Number]],'CLASSIC Handgun'!B:B,'CLASSIC Handgun'!J:J)</f>
        <v>0</v>
      </c>
      <c r="AB63" s="3">
        <f>_xlfn.XLOOKUP(Table219[[#This Row],[SAPSA Number]],PCC!B:B,PCC!J:J)</f>
        <v>0</v>
      </c>
      <c r="AC63" s="3">
        <f>_xlfn.XLOOKUP(Table219[[#This Row],[SAPSA Number]],'SAOpen Rifle'!B:B,'SAOpen Rifle'!J:J)</f>
        <v>0</v>
      </c>
      <c r="AD63" s="3">
        <f>_xlfn.XLOOKUP(Table219[[#This Row],[SAPSA Number]],'SA Std Rifle'!B:B,'SA Std Rifle'!J:J)</f>
        <v>0</v>
      </c>
      <c r="AE63" s="3">
        <f>_xlfn.XLOOKUP(Table219[[#This Row],[SAPSA Number]],'STD Mini Rifle'!B:B,'STD Mini Rifle'!J:J)</f>
        <v>0</v>
      </c>
      <c r="AF63" s="3">
        <f>_xlfn.XLOOKUP(Table219[[#This Row],[SAPSA Number]],'Open Mini Rifle'!B:B,'Open Mini Rifle'!J:J)</f>
        <v>0</v>
      </c>
      <c r="AG63" s="3">
        <f>_xlfn.XLOOKUP(Table219[[#This Row],[SAPSA Number]],'SA OPEN Shotgun'!B:B,'SA OPEN Shotgun'!J:J)</f>
        <v>0</v>
      </c>
      <c r="AH63" s="3">
        <f>_xlfn.XLOOKUP(Table219[[#This Row],[SAPSA Number]],'SA STD Shotgun'!B:B,'SA STD Shotgun'!J:J)</f>
        <v>0</v>
      </c>
      <c r="AI63" s="3">
        <f>_xlfn.XLOOKUP(Table219[[#This Row],[SAPSA Number]],'MAN STD Shotgun'!B:B,'MAN STD Shotgun'!J:J)</f>
        <v>0</v>
      </c>
      <c r="AJ63" s="4">
        <f>_xlfn.XLOOKUP(Table219[[#This Row],[SAPSA Number]],'MODIFIED Shotgun'!B:B,'MODIFIED Shotgun'!J:J)</f>
        <v>4</v>
      </c>
    </row>
    <row r="64" spans="1:36" x14ac:dyDescent="0.3">
      <c r="A64" s="2">
        <v>7132</v>
      </c>
      <c r="B64" s="2" t="str">
        <f>_xlfn.XLOOKUP(Table219[[#This Row],[SAPSA Number]],Table1[SAPSA number],Table1[Paid up])</f>
        <v>Y</v>
      </c>
      <c r="C64" s="5" t="s">
        <v>449</v>
      </c>
      <c r="D64" s="5" t="s">
        <v>450</v>
      </c>
      <c r="E64" s="3" t="s">
        <v>447</v>
      </c>
      <c r="F64" s="72" t="str">
        <f ca="1">_xlfn.XLOOKUP(Table219[[#This Row],[SAPSA Number]],Table1[SAPSA number],Table1[Gender])</f>
        <v>GS</v>
      </c>
      <c r="G64" s="2">
        <f ca="1">_xlfn.XLOOKUP(Table219[[#This Row],[SAPSA Number]],Table1[SAPSA number],Table1[Age])</f>
        <v>71</v>
      </c>
      <c r="H64" s="3">
        <v>-4</v>
      </c>
      <c r="I64" s="3">
        <f>SUM(Table219[[#This Row],[Club Points]:[League Points Earned - Dec]])</f>
        <v>3</v>
      </c>
      <c r="J64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3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>
        <f>_xlfn.XLOOKUP(Table219[[#This Row],[SAPSA Number]],'STD Handgun'!B:B,'STD Handgun'!J:J)</f>
        <v>0</v>
      </c>
      <c r="X64" s="3">
        <f>_xlfn.XLOOKUP(Table219[[#This Row],[SAPSA Number]],'PROD OPTICS Handgun'!B:B,'PROD OPTICS Handgun'!J:J)</f>
        <v>0</v>
      </c>
      <c r="Y64" s="3">
        <f>_xlfn.XLOOKUP(Table219[[#This Row],[SAPSA Number]],'PROD Handgun'!B:B,'PROD Handgun'!J:J)</f>
        <v>3</v>
      </c>
      <c r="Z64" s="3">
        <f>_xlfn.XLOOKUP(Table219[[#This Row],[SAPSA Number]],'OPEN Handgun'!B:B,'OPEN Handgun'!J:J)</f>
        <v>0</v>
      </c>
      <c r="AA64" s="3">
        <f>_xlfn.XLOOKUP(Table219[[#This Row],[SAPSA Number]],'CLASSIC Handgun'!B:B,'CLASSIC Handgun'!J:J)</f>
        <v>0</v>
      </c>
      <c r="AB64" s="3">
        <f>_xlfn.XLOOKUP(Table219[[#This Row],[SAPSA Number]],PCC!B:B,PCC!J:J)</f>
        <v>0</v>
      </c>
      <c r="AC64" s="3">
        <f>_xlfn.XLOOKUP(Table219[[#This Row],[SAPSA Number]],'SAOpen Rifle'!B:B,'SAOpen Rifle'!J:J)</f>
        <v>0</v>
      </c>
      <c r="AD64" s="3">
        <f>_xlfn.XLOOKUP(Table219[[#This Row],[SAPSA Number]],'SA Std Rifle'!B:B,'SA Std Rifle'!J:J)</f>
        <v>0</v>
      </c>
      <c r="AE64" s="3">
        <f>_xlfn.XLOOKUP(Table219[[#This Row],[SAPSA Number]],'STD Mini Rifle'!B:B,'STD Mini Rifle'!J:J)</f>
        <v>0</v>
      </c>
      <c r="AF64" s="3">
        <f>_xlfn.XLOOKUP(Table219[[#This Row],[SAPSA Number]],'Open Mini Rifle'!B:B,'Open Mini Rifle'!J:J)</f>
        <v>0</v>
      </c>
      <c r="AG64" s="3">
        <f>_xlfn.XLOOKUP(Table219[[#This Row],[SAPSA Number]],'SA OPEN Shotgun'!B:B,'SA OPEN Shotgun'!J:J)</f>
        <v>0</v>
      </c>
      <c r="AH64" s="3">
        <f>_xlfn.XLOOKUP(Table219[[#This Row],[SAPSA Number]],'SA STD Shotgun'!B:B,'SA STD Shotgun'!J:J)</f>
        <v>0</v>
      </c>
      <c r="AI64" s="3">
        <f>_xlfn.XLOOKUP(Table219[[#This Row],[SAPSA Number]],'MAN STD Shotgun'!B:B,'MAN STD Shotgun'!J:J)</f>
        <v>0</v>
      </c>
      <c r="AJ64" s="4">
        <f>_xlfn.XLOOKUP(Table219[[#This Row],[SAPSA Number]],'MODIFIED Shotgun'!B:B,'MODIFIED Shotgun'!J:J)</f>
        <v>0</v>
      </c>
    </row>
    <row r="65" spans="1:36" x14ac:dyDescent="0.3">
      <c r="A65" s="2">
        <v>7260</v>
      </c>
      <c r="B65" s="2">
        <f>_xlfn.XLOOKUP(Table219[[#This Row],[SAPSA Number]],Table1[SAPSA number],Table1[Paid up])</f>
        <v>0</v>
      </c>
      <c r="C65" s="5" t="s">
        <v>456</v>
      </c>
      <c r="D65" s="5" t="s">
        <v>457</v>
      </c>
      <c r="E65" s="3" t="s">
        <v>87</v>
      </c>
      <c r="F65" s="72" t="str">
        <f ca="1">_xlfn.XLOOKUP(Table219[[#This Row],[SAPSA Number]],Table1[SAPSA number],Table1[Gender])</f>
        <v>SS</v>
      </c>
      <c r="G65" s="2">
        <f ca="1">_xlfn.XLOOKUP(Table219[[#This Row],[SAPSA Number]],Table1[SAPSA number],Table1[Age])</f>
        <v>60</v>
      </c>
      <c r="H65" s="3">
        <v>0</v>
      </c>
      <c r="I65" s="3">
        <f>SUM(Table219[[#This Row],[Club Points]:[League Points Earned - Dec]])</f>
        <v>8</v>
      </c>
      <c r="J65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7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>
        <v>1</v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4"/>
    </row>
    <row r="66" spans="1:36" x14ac:dyDescent="0.3">
      <c r="A66" s="2">
        <v>7271</v>
      </c>
      <c r="B66" s="2" t="s">
        <v>473</v>
      </c>
      <c r="C66" s="5" t="s">
        <v>113</v>
      </c>
      <c r="D66" s="5" t="s">
        <v>459</v>
      </c>
      <c r="E66" s="3" t="s">
        <v>107</v>
      </c>
      <c r="F66" s="72" t="str">
        <f ca="1">_xlfn.XLOOKUP(Table219[[#This Row],[SAPSA Number]],Table1[SAPSA number],Table1[Gender])</f>
        <v xml:space="preserve"> </v>
      </c>
      <c r="G66" s="2">
        <f ca="1">_xlfn.XLOOKUP(Table219[[#This Row],[SAPSA Number]],Table1[SAPSA number],Table1[Age])</f>
        <v>46</v>
      </c>
      <c r="H66" s="3">
        <v>1</v>
      </c>
      <c r="I66" s="3">
        <f>SUM(Table219[[#This Row],[Club Points]:[League Points Earned - Dec]])</f>
        <v>2</v>
      </c>
      <c r="J66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2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4"/>
    </row>
    <row r="67" spans="1:36" x14ac:dyDescent="0.3">
      <c r="A67" s="2">
        <v>7328</v>
      </c>
      <c r="B67" s="48" t="s">
        <v>473</v>
      </c>
      <c r="C67" s="49" t="s">
        <v>461</v>
      </c>
      <c r="D67" s="49" t="s">
        <v>462</v>
      </c>
      <c r="E67" s="50" t="s">
        <v>154</v>
      </c>
      <c r="F67" s="72" t="str">
        <f ca="1">_xlfn.XLOOKUP(Table219[[#This Row],[SAPSA Number]],Table1[SAPSA number],Table1[Gender])</f>
        <v xml:space="preserve"> </v>
      </c>
      <c r="G67" s="2">
        <f ca="1">_xlfn.XLOOKUP(Table219[[#This Row],[SAPSA Number]],Table1[SAPSA number],Table1[Age])</f>
        <v>44</v>
      </c>
      <c r="H67" s="3">
        <v>2</v>
      </c>
      <c r="I67" s="3">
        <f>SUM(Table219[[#This Row],[Club Points]:[League Points Earned - Dec]])</f>
        <v>3</v>
      </c>
      <c r="J67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3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7"/>
    </row>
    <row r="68" spans="1:36" x14ac:dyDescent="0.3">
      <c r="A68" s="48">
        <v>7431</v>
      </c>
      <c r="B68" s="48" t="s">
        <v>473</v>
      </c>
      <c r="C68" s="49" t="s">
        <v>467</v>
      </c>
      <c r="D68" s="49" t="s">
        <v>468</v>
      </c>
      <c r="E68" s="50" t="s">
        <v>15</v>
      </c>
      <c r="F68" s="72">
        <f>_xlfn.XLOOKUP(Table219[[#This Row],[SAPSA Number]],Table1[SAPSA number],Table1[Gender])</f>
        <v>0</v>
      </c>
      <c r="G68" s="2">
        <f>_xlfn.XLOOKUP(Table219[[#This Row],[SAPSA Number]],Table1[SAPSA number],Table1[Age])</f>
        <v>0</v>
      </c>
      <c r="H68" s="3">
        <v>3</v>
      </c>
      <c r="I68" s="3">
        <f>SUM(Table219[[#This Row],[Club Points]:[League Points Earned - Dec]])</f>
        <v>3</v>
      </c>
      <c r="J68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3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7"/>
    </row>
    <row r="69" spans="1:36" x14ac:dyDescent="0.3">
      <c r="A69" s="2">
        <v>7434</v>
      </c>
      <c r="B69" s="48" t="s">
        <v>473</v>
      </c>
      <c r="C69" s="49" t="s">
        <v>469</v>
      </c>
      <c r="D69" s="49" t="s">
        <v>470</v>
      </c>
      <c r="E69" s="50" t="s">
        <v>154</v>
      </c>
      <c r="F69" s="72" t="str">
        <f>_xlfn.XLOOKUP(Table219[[#This Row],[SAPSA Number]],Table1[SAPSA number],Table1[Gender])</f>
        <v>Lady</v>
      </c>
      <c r="G69" s="2">
        <f ca="1">_xlfn.XLOOKUP(Table219[[#This Row],[SAPSA Number]],Table1[SAPSA number],Table1[Age])</f>
        <v>33</v>
      </c>
      <c r="H69" s="3">
        <v>4</v>
      </c>
      <c r="I69" s="3">
        <f>SUM(Table219[[#This Row],[Club Points]:[League Points Earned - Dec]])</f>
        <v>1</v>
      </c>
      <c r="J69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1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7"/>
    </row>
    <row r="70" spans="1:36" x14ac:dyDescent="0.3">
      <c r="A70" s="2">
        <v>7478</v>
      </c>
      <c r="B70" s="48"/>
      <c r="C70" s="49" t="s">
        <v>474</v>
      </c>
      <c r="D70" s="49" t="s">
        <v>475</v>
      </c>
      <c r="E70" s="50" t="s">
        <v>15</v>
      </c>
      <c r="F70" s="72" t="str">
        <f>_xlfn.XLOOKUP(Table219[[#This Row],[SAPSA Number]],Table1[SAPSA number],Table1[Gender])</f>
        <v>Lady</v>
      </c>
      <c r="G70" s="2">
        <f ca="1">_xlfn.XLOOKUP(Table219[[#This Row],[SAPSA Number]],Table1[SAPSA number],Table1[Age])</f>
        <v>35</v>
      </c>
      <c r="H70" s="3">
        <v>5</v>
      </c>
      <c r="I70" s="3">
        <f>SUM(Table219[[#This Row],[Club Points]:[League Points Earned - Dec]])</f>
        <v>0</v>
      </c>
      <c r="J70" s="3">
        <f>_xlfn.XLOOKUP(Table219[[#This Row],[SAPSA Number]],'STD Handgun'!B:B,'STD Handgun'!J:J)+_xlfn.XLOOKUP(Table219[[#This Row],[SAPSA Number]],'PROD Handgun'!B:B,'PROD Handgun'!J:J)+_xlfn.XLOOKUP(Table219[[#This Row],[SAPSA Number]],'PROD OPTICS Handgun'!B:B,'PROD OPTICS Handgun'!J:J)+_xlfn.XLOOKUP(Table219[[#This Row],[SAPSA Number]],'OPEN Handgun'!B:B,'OPEN Handgun'!J:J)+_xlfn.XLOOKUP(Table219[[#This Row],[SAPSA Number]],'CLASSIC Handgun'!B:B,'CLASSIC Handgun'!J:J)+_xlfn.XLOOKUP(Table219[[#This Row],[SAPSA Number]],Revolver!B:B,Revolver!J:J)+_xlfn.XLOOKUP(Table219[[#This Row],[SAPSA Number]],PCC!B:B,PCC!J:J)+_xlfn.XLOOKUP(Table219[[#This Row],[SAPSA Number]],'SAOpen Rifle'!B:B,'SAOpen Rifle'!J:J)+_xlfn.XLOOKUP(Table219[[#This Row],[SAPSA Number]],'SA Std Rifle'!B:B,'SA Std Rifle'!J:J)+_xlfn.XLOOKUP(Table219[[#This Row],[SAPSA Number]],'Open Mini Rifle'!B:B,'Open Mini Rifle'!J:J)+_xlfn.XLOOKUP(Table219[[#This Row],[SAPSA Number]],'STD Mini Rifle'!B:B,'STD Mini Rifle'!J:J)+_xlfn.XLOOKUP(Table219[[#This Row],[SAPSA Number]],'SA OPEN Shotgun'!B:B,'SA OPEN Shotgun'!J:J)+_xlfn.XLOOKUP(Table219[[#This Row],[SAPSA Number]],'SA STD Shotgun'!B:B,'SA STD Shotgun'!J:J)+_xlfn.XLOOKUP(Table219[[#This Row],[SAPSA Number]],'MAN STD Shotgun'!B:B,'MAN STD Shotgun'!J:J)+_xlfn.XLOOKUP(Table219[[#This Row],[SAPSA Number]],'MODIFIED Shotgun'!B:B,'MODIFIED Shotgun'!J:J)</f>
        <v>0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7"/>
    </row>
    <row r="71" spans="1:36" x14ac:dyDescent="0.3">
      <c r="A71" s="132"/>
      <c r="B71" s="2"/>
      <c r="C71" s="5"/>
      <c r="D71" s="5"/>
      <c r="E71" s="58"/>
      <c r="F71" s="3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4"/>
    </row>
    <row r="72" spans="1:36" x14ac:dyDescent="0.3">
      <c r="A72" s="132"/>
      <c r="B72" s="2"/>
      <c r="C72" s="5"/>
      <c r="D72" s="5"/>
      <c r="E72" s="58"/>
      <c r="F72" s="3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4"/>
    </row>
    <row r="73" spans="1:36" x14ac:dyDescent="0.3">
      <c r="A73" s="132"/>
      <c r="B73" s="2"/>
      <c r="C73" s="5"/>
      <c r="D73" s="5"/>
      <c r="E73" s="58"/>
      <c r="F73" s="7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4"/>
    </row>
    <row r="74" spans="1:36" x14ac:dyDescent="0.3">
      <c r="A74" s="132"/>
      <c r="B74" s="2"/>
      <c r="C74" s="5"/>
      <c r="D74" s="5"/>
      <c r="E74" s="58"/>
      <c r="F74" s="3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4"/>
    </row>
    <row r="75" spans="1:36" x14ac:dyDescent="0.3">
      <c r="A75" s="132"/>
      <c r="B75" s="2"/>
      <c r="C75" s="5"/>
      <c r="D75" s="5"/>
      <c r="E75" s="58"/>
      <c r="F75" s="72"/>
      <c r="G75" s="2"/>
      <c r="H75" s="8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4"/>
    </row>
    <row r="76" spans="1:36" s="133" customFormat="1" x14ac:dyDescent="0.3">
      <c r="A76" s="132"/>
      <c r="B76" s="2"/>
      <c r="C76" s="5"/>
      <c r="D76" s="5"/>
      <c r="E76" s="58"/>
      <c r="F76" s="7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4"/>
    </row>
    <row r="77" spans="1:36" x14ac:dyDescent="0.3">
      <c r="A77" s="132"/>
      <c r="B77" s="2"/>
      <c r="C77" s="5"/>
      <c r="D77" s="5"/>
      <c r="E77" s="58"/>
      <c r="F77" s="7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4"/>
    </row>
    <row r="78" spans="1:36" x14ac:dyDescent="0.3">
      <c r="A78" s="132"/>
      <c r="B78" s="2"/>
      <c r="C78" s="5"/>
      <c r="D78" s="5"/>
      <c r="E78" s="58"/>
      <c r="F78" s="72"/>
      <c r="G78" s="2"/>
      <c r="H78" s="66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4"/>
    </row>
    <row r="79" spans="1:36" x14ac:dyDescent="0.3">
      <c r="A79" s="132"/>
      <c r="B79" s="48"/>
      <c r="C79" s="49"/>
      <c r="D79" s="49"/>
      <c r="E79" s="50"/>
      <c r="F79" s="7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4"/>
    </row>
    <row r="80" spans="1:36" x14ac:dyDescent="0.3">
      <c r="A80" s="132"/>
      <c r="B80" s="48"/>
      <c r="C80" s="49"/>
      <c r="D80" s="49"/>
      <c r="E80" s="50"/>
      <c r="F80" s="7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4"/>
    </row>
    <row r="81" spans="1:36" x14ac:dyDescent="0.3">
      <c r="A81" s="132"/>
      <c r="B81" s="48"/>
      <c r="C81" s="5"/>
      <c r="D81" s="5"/>
      <c r="E81" s="58"/>
      <c r="F81" s="7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4"/>
    </row>
    <row r="82" spans="1:36" x14ac:dyDescent="0.3">
      <c r="A82" s="132"/>
      <c r="B82" s="2"/>
      <c r="C82" s="5"/>
      <c r="D82" s="5"/>
      <c r="E82" s="58"/>
      <c r="F82" s="7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4"/>
    </row>
    <row r="83" spans="1:36" x14ac:dyDescent="0.3">
      <c r="A83" s="132"/>
      <c r="B83" s="132"/>
      <c r="C83" s="136"/>
      <c r="D83" s="136"/>
      <c r="E83" s="137"/>
      <c r="F83" s="7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9"/>
    </row>
    <row r="84" spans="1:36" x14ac:dyDescent="0.3">
      <c r="A84" s="132"/>
      <c r="B84" s="48"/>
      <c r="C84" s="49"/>
      <c r="D84" s="49"/>
      <c r="E84" s="50"/>
      <c r="F84" s="7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7"/>
    </row>
    <row r="85" spans="1:36" x14ac:dyDescent="0.3">
      <c r="A85" s="135"/>
      <c r="B85" s="48"/>
      <c r="C85" s="49"/>
      <c r="D85" s="49"/>
      <c r="E85" s="50"/>
      <c r="F85" s="7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7"/>
    </row>
    <row r="86" spans="1:36" x14ac:dyDescent="0.3">
      <c r="A86" s="132"/>
      <c r="B86" s="48"/>
      <c r="C86" s="49"/>
      <c r="D86" s="49"/>
      <c r="E86" s="50"/>
      <c r="F86" s="7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7"/>
    </row>
    <row r="87" spans="1:36" x14ac:dyDescent="0.3">
      <c r="A87" s="132"/>
      <c r="B87" s="48"/>
      <c r="C87" s="49"/>
      <c r="D87" s="49"/>
      <c r="E87" s="50"/>
      <c r="F87" s="7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7"/>
    </row>
    <row r="88" spans="1:36" x14ac:dyDescent="0.3">
      <c r="A88" s="132"/>
      <c r="B88" s="48"/>
      <c r="C88" s="49"/>
      <c r="D88" s="49"/>
      <c r="E88" s="50"/>
      <c r="F88" s="7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7"/>
    </row>
    <row r="89" spans="1:36" x14ac:dyDescent="0.3">
      <c r="A89" s="48"/>
      <c r="B89" s="48"/>
      <c r="C89" s="49"/>
      <c r="D89" s="49"/>
      <c r="E89" s="50"/>
      <c r="F89" s="3"/>
      <c r="G89" s="48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7"/>
    </row>
    <row r="90" spans="1:36" x14ac:dyDescent="0.3">
      <c r="A90" s="2"/>
      <c r="B90" s="48"/>
      <c r="C90" s="49"/>
      <c r="D90" s="49"/>
      <c r="E90" s="50"/>
      <c r="F90" s="72"/>
      <c r="G90" s="48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7"/>
    </row>
    <row r="91" spans="1:36" x14ac:dyDescent="0.3">
      <c r="A91" s="2"/>
      <c r="B91" s="48"/>
      <c r="C91" s="49"/>
      <c r="D91" s="49"/>
      <c r="E91" s="50"/>
      <c r="F91" s="72"/>
      <c r="G91" s="48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7"/>
    </row>
    <row r="92" spans="1:36" x14ac:dyDescent="0.3">
      <c r="A92" s="2"/>
      <c r="B92" s="2"/>
      <c r="C92" s="5"/>
      <c r="D92" s="5"/>
      <c r="E92" s="3"/>
      <c r="F92" s="72"/>
      <c r="G92" s="48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7"/>
    </row>
    <row r="93" spans="1:36" x14ac:dyDescent="0.3">
      <c r="A93" s="2"/>
      <c r="B93" s="2"/>
      <c r="C93" s="5"/>
      <c r="D93" s="5"/>
      <c r="E93" s="3"/>
      <c r="F93" s="72"/>
      <c r="G93" s="48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7"/>
    </row>
    <row r="94" spans="1:36" x14ac:dyDescent="0.3">
      <c r="A94" s="2"/>
      <c r="B94" s="2"/>
      <c r="C94" s="5"/>
      <c r="D94" s="5"/>
      <c r="E94" s="3"/>
      <c r="F94" s="72"/>
      <c r="G94" s="48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7"/>
    </row>
    <row r="95" spans="1:36" x14ac:dyDescent="0.3">
      <c r="A95" s="2"/>
      <c r="B95" s="2"/>
      <c r="C95" s="5"/>
      <c r="D95" s="5"/>
      <c r="E95" s="3"/>
      <c r="F95" s="72"/>
      <c r="G95" s="3"/>
      <c r="H95" s="8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7"/>
    </row>
    <row r="96" spans="1:36" x14ac:dyDescent="0.3">
      <c r="A96" s="2"/>
      <c r="B96" s="2"/>
      <c r="C96" s="5"/>
      <c r="D96" s="5"/>
      <c r="E96" s="3"/>
      <c r="F96" s="7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7"/>
    </row>
    <row r="97" spans="1:36" x14ac:dyDescent="0.3">
      <c r="A97" s="2"/>
      <c r="B97" s="2"/>
      <c r="C97" s="5"/>
      <c r="D97" s="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7"/>
    </row>
    <row r="98" spans="1:36" x14ac:dyDescent="0.3">
      <c r="A98" s="48"/>
      <c r="B98" s="48"/>
      <c r="C98" s="49"/>
      <c r="D98" s="49"/>
      <c r="E98" s="57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7"/>
    </row>
    <row r="99" spans="1:36" x14ac:dyDescent="0.3">
      <c r="A99" s="48"/>
      <c r="B99" s="48"/>
      <c r="C99" s="49"/>
      <c r="D99" s="49"/>
      <c r="E99" s="57"/>
      <c r="F99" s="51"/>
      <c r="G99" s="48"/>
      <c r="H99" s="5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7"/>
    </row>
    <row r="100" spans="1:36" x14ac:dyDescent="0.3">
      <c r="A100" s="48"/>
      <c r="B100" s="48"/>
      <c r="C100" s="49"/>
      <c r="D100" s="49"/>
      <c r="E100" s="57"/>
      <c r="F100" s="74"/>
      <c r="G100" s="48"/>
      <c r="H100" s="5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7"/>
    </row>
  </sheetData>
  <conditionalFormatting sqref="I2:I100">
    <cfRule type="cellIs" dxfId="16" priority="1" operator="greaterThan">
      <formula>5</formula>
    </cfRule>
    <cfRule type="cellIs" dxfId="15" priority="2" operator="lessThan">
      <formula>6</formula>
    </cfRule>
  </conditionalFormatting>
  <pageMargins left="0.7" right="0.7" top="0.75" bottom="0.75" header="0.3" footer="0.3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F8F5-8AE9-45A6-AC09-ACCCBC9119E2}">
  <sheetPr codeName="Sheet3">
    <tabColor rgb="FF0070C0"/>
  </sheetPr>
  <dimension ref="A1:AMJ134"/>
  <sheetViews>
    <sheetView zoomScale="80" zoomScaleNormal="80" workbookViewId="0">
      <pane xSplit="11" ySplit="1" topLeftCell="V2" activePane="bottomRight" state="frozen"/>
      <selection activeCell="D82" sqref="D82"/>
      <selection pane="topRight" activeCell="D82" sqref="D82"/>
      <selection pane="bottomLeft" activeCell="D82" sqref="D82"/>
      <selection pane="bottomRight" activeCell="X12" sqref="X12"/>
    </sheetView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21.109375" style="16" customWidth="1"/>
    <col min="5" max="5" width="16.109375" style="16" bestFit="1" customWidth="1"/>
    <col min="6" max="6" width="8.109375" style="16" customWidth="1"/>
    <col min="7" max="7" width="6.109375" style="16" customWidth="1"/>
    <col min="8" max="8" width="6.33203125" style="16" customWidth="1"/>
    <col min="9" max="9" width="9.109375" style="16" customWidth="1"/>
    <col min="10" max="10" width="7.33203125" style="16" customWidth="1"/>
    <col min="11" max="11" width="9.77734375" style="38" customWidth="1"/>
    <col min="12" max="23" width="9.777343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448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16" si="0">RANK(K2,K$2:K$144,0)</f>
        <v>1</v>
      </c>
      <c r="B2" s="18">
        <v>127</v>
      </c>
      <c r="C2" s="18" t="str">
        <f>_xlfn.XLOOKUP(__xlnm._FilterDatabase_1[[#This Row],[SAPSA Number]],Table1[SAPSA number],Table1[Paid up])</f>
        <v>Y</v>
      </c>
      <c r="D2" s="19" t="str">
        <f>_xlfn.XLOOKUP(__xlnm._FilterDatabase_1[[#This Row],[SAPSA Number]],Table1[SAPSA number],Table1[Name])</f>
        <v>Eurika Susara</v>
      </c>
      <c r="E2" s="39" t="str">
        <f>_xlfn.XLOOKUP(__xlnm._FilterDatabase_1[[#This Row],[SAPSA Number]],Table1[SAPSA number],Table1[Surname])</f>
        <v>Du Plooy</v>
      </c>
      <c r="F2" s="28" t="str">
        <f>_xlfn.XLOOKUP(__xlnm._FilterDatabase_1[[#This Row],[SAPSA Number]],Table1[SAPSA number],Table1[Initials])</f>
        <v>E</v>
      </c>
      <c r="G2" s="17" t="str">
        <f>_xlfn.XLOOKUP(__xlnm._FilterDatabase_1[[#This Row],[SAPSA Number]],Table1[SAPSA number],Table1[Gender])</f>
        <v>SS</v>
      </c>
      <c r="H2" s="19">
        <f ca="1">_xlfn.XLOOKUP(__xlnm._FilterDatabase_1[[#This Row],[SAPSA Number]],Table1[SAPSA number],Table1[Age])</f>
        <v>66</v>
      </c>
      <c r="I2" s="19" t="s">
        <v>233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10</v>
      </c>
      <c r="K2" s="22">
        <f t="shared" ref="K2:K33" si="2">(LARGE(L2:W2,1)+LARGE(L2:W2,2)+LARGE(L2:W2,3)+LARGE(L2:W2,4)+LARGE(L2:W2,5))/5</f>
        <v>100</v>
      </c>
      <c r="L2" s="23">
        <v>100</v>
      </c>
      <c r="M2" s="24">
        <v>100</v>
      </c>
      <c r="N2" s="23">
        <v>0</v>
      </c>
      <c r="O2" s="24">
        <v>100</v>
      </c>
      <c r="P2" s="23">
        <v>99.001400000000004</v>
      </c>
      <c r="Q2" s="24">
        <v>100</v>
      </c>
      <c r="R2" s="23">
        <v>100</v>
      </c>
      <c r="S2" s="24">
        <v>99.678799999999995</v>
      </c>
      <c r="T2" s="23">
        <v>100</v>
      </c>
      <c r="U2" s="24">
        <v>100</v>
      </c>
      <c r="V2" s="23">
        <v>0</v>
      </c>
      <c r="W2" s="24">
        <v>100</v>
      </c>
    </row>
    <row r="3" spans="1:23" ht="14.4" customHeight="1" x14ac:dyDescent="0.3">
      <c r="A3" s="17">
        <f t="shared" si="0"/>
        <v>2</v>
      </c>
      <c r="B3" s="25">
        <v>851</v>
      </c>
      <c r="C3" s="25" t="str">
        <f>_xlfn.XLOOKUP(__xlnm._FilterDatabase_1[[#This Row],[SAPSA Number]],Table1[SAPSA number],Table1[Paid up])</f>
        <v>Y</v>
      </c>
      <c r="D3" s="19" t="str">
        <f>_xlfn.XLOOKUP(__xlnm._FilterDatabase_1[[#This Row],[SAPSA Number]],Table1[SAPSA number],Table1[Name])</f>
        <v>Ian David</v>
      </c>
      <c r="E3" s="39" t="str">
        <f>_xlfn.XLOOKUP(__xlnm._FilterDatabase_1[[#This Row],[SAPSA Number]],Table1[SAPSA number],Table1[Surname])</f>
        <v>McLaren</v>
      </c>
      <c r="F3" s="28" t="str">
        <f>_xlfn.XLOOKUP(__xlnm._FilterDatabase_1[[#This Row],[SAPSA Number]],Table1[SAPSA number],Table1[Initials])</f>
        <v>ID</v>
      </c>
      <c r="G3" s="17" t="str">
        <f ca="1">_xlfn.XLOOKUP(__xlnm._FilterDatabase_1[[#This Row],[SAPSA Number]],Table1[SAPSA number],Table1[Gender])</f>
        <v>SS</v>
      </c>
      <c r="H3" s="19">
        <f ca="1">_xlfn.XLOOKUP(__xlnm._FilterDatabase_1[[#This Row],[SAPSA Number]],Table1[SAPSA number],Table1[Age])</f>
        <v>68</v>
      </c>
      <c r="I3" s="19" t="s">
        <v>233</v>
      </c>
      <c r="J3" s="21">
        <f t="shared" si="1"/>
        <v>6</v>
      </c>
      <c r="K3" s="22">
        <f t="shared" si="2"/>
        <v>86.346999999999994</v>
      </c>
      <c r="L3" s="23">
        <v>76.083600000000004</v>
      </c>
      <c r="M3" s="24">
        <v>0</v>
      </c>
      <c r="N3" s="23">
        <v>100</v>
      </c>
      <c r="O3" s="24">
        <v>80.4923</v>
      </c>
      <c r="P3" s="23">
        <v>88.593800000000002</v>
      </c>
      <c r="Q3" s="24">
        <v>86.565299999999993</v>
      </c>
      <c r="R3" s="23">
        <v>0</v>
      </c>
      <c r="S3" s="24">
        <v>0</v>
      </c>
      <c r="T3" s="23">
        <v>74.871300000000005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 t="shared" si="0"/>
        <v>3</v>
      </c>
      <c r="B4" s="25">
        <v>250</v>
      </c>
      <c r="C4" s="25">
        <f>_xlfn.XLOOKUP(__xlnm._FilterDatabase_1[[#This Row],[SAPSA Number]],Table1[SAPSA number],Table1[Paid up])</f>
        <v>0</v>
      </c>
      <c r="D4" s="19" t="str">
        <f>_xlfn.XLOOKUP(__xlnm._FilterDatabase_1[[#This Row],[SAPSA Number]],Table1[SAPSA number],Table1[Name])</f>
        <v>Adriano Walter</v>
      </c>
      <c r="E4" s="39" t="str">
        <f>_xlfn.XLOOKUP(__xlnm._FilterDatabase_1[[#This Row],[SAPSA Number]],Table1[SAPSA number],Table1[Surname])</f>
        <v>Paschini</v>
      </c>
      <c r="F4" s="28" t="str">
        <f>_xlfn.XLOOKUP(__xlnm._FilterDatabase_1[[#This Row],[SAPSA Number]],Table1[SAPSA number],Table1[Initials])</f>
        <v>AW</v>
      </c>
      <c r="G4" s="17" t="str">
        <f ca="1">_xlfn.XLOOKUP(__xlnm._FilterDatabase_1[[#This Row],[SAPSA Number]],Table1[SAPSA number],Table1[Gender])</f>
        <v>SS</v>
      </c>
      <c r="H4" s="19">
        <f ca="1">_xlfn.XLOOKUP(__xlnm._FilterDatabase_1[[#This Row],[SAPSA Number]],Table1[SAPSA number],Table1[Age])</f>
        <v>66</v>
      </c>
      <c r="I4" s="19" t="s">
        <v>233</v>
      </c>
      <c r="J4" s="21">
        <f t="shared" si="1"/>
        <v>8</v>
      </c>
      <c r="K4" s="22">
        <f t="shared" si="2"/>
        <v>76.907240000000002</v>
      </c>
      <c r="L4" s="23">
        <v>66.054000000000002</v>
      </c>
      <c r="M4" s="24">
        <v>66.589299999999994</v>
      </c>
      <c r="N4" s="23">
        <v>73.924499999999995</v>
      </c>
      <c r="O4" s="24">
        <v>0</v>
      </c>
      <c r="P4" s="23">
        <v>73.561400000000006</v>
      </c>
      <c r="Q4" s="24">
        <v>69.296199999999999</v>
      </c>
      <c r="R4" s="23">
        <v>0</v>
      </c>
      <c r="S4" s="24">
        <v>81.531800000000004</v>
      </c>
      <c r="T4" s="23">
        <v>63.128700000000002</v>
      </c>
      <c r="U4" s="24">
        <v>86.222300000000004</v>
      </c>
      <c r="V4" s="23">
        <v>0</v>
      </c>
      <c r="W4" s="24">
        <v>0</v>
      </c>
    </row>
    <row r="5" spans="1:23" ht="14.4" customHeight="1" x14ac:dyDescent="0.3">
      <c r="A5" s="17">
        <f t="shared" si="0"/>
        <v>4</v>
      </c>
      <c r="B5" s="25">
        <v>3172</v>
      </c>
      <c r="C5" s="25" t="str">
        <f>_xlfn.XLOOKUP(__xlnm._FilterDatabase_1[[#This Row],[SAPSA Number]],Table1[SAPSA number],Table1[Paid up])</f>
        <v>Y</v>
      </c>
      <c r="D5" s="19" t="str">
        <f>_xlfn.XLOOKUP(__xlnm._FilterDatabase_1[[#This Row],[SAPSA Number]],Table1[SAPSA number],Table1[Name])</f>
        <v>Mervyn-John</v>
      </c>
      <c r="E5" s="39" t="str">
        <f>_xlfn.XLOOKUP(__xlnm._FilterDatabase_1[[#This Row],[SAPSA Number]],Table1[SAPSA number],Table1[Surname])</f>
        <v>Evans</v>
      </c>
      <c r="F5" s="28" t="str">
        <f>_xlfn.XLOOKUP(__xlnm._FilterDatabase_1[[#This Row],[SAPSA Number]],Table1[SAPSA number],Table1[Initials])</f>
        <v>MJ</v>
      </c>
      <c r="G5" s="17" t="str">
        <f ca="1">_xlfn.XLOOKUP(__xlnm._FilterDatabase_1[[#This Row],[SAPSA Number]],Table1[SAPSA number],Table1[Gender])</f>
        <v>SS</v>
      </c>
      <c r="H5" s="19">
        <f ca="1">_xlfn.XLOOKUP(__xlnm._FilterDatabase_1[[#This Row],[SAPSA Number]],Table1[SAPSA number],Table1[Age])</f>
        <v>66</v>
      </c>
      <c r="I5" s="19" t="s">
        <v>233</v>
      </c>
      <c r="J5" s="21">
        <f t="shared" si="1"/>
        <v>8</v>
      </c>
      <c r="K5" s="22">
        <f t="shared" si="2"/>
        <v>75.38758</v>
      </c>
      <c r="L5" s="23">
        <v>70.928100000000001</v>
      </c>
      <c r="M5" s="24">
        <v>68.447199999999995</v>
      </c>
      <c r="N5" s="23">
        <v>0</v>
      </c>
      <c r="O5" s="24">
        <v>66.278400000000005</v>
      </c>
      <c r="P5" s="23">
        <v>73.119</v>
      </c>
      <c r="Q5" s="24">
        <v>75.183700000000002</v>
      </c>
      <c r="R5" s="23">
        <v>0</v>
      </c>
      <c r="S5" s="24">
        <v>82.807100000000005</v>
      </c>
      <c r="T5" s="23">
        <v>66.738900000000001</v>
      </c>
      <c r="U5" s="24">
        <v>0</v>
      </c>
      <c r="V5" s="23">
        <v>0</v>
      </c>
      <c r="W5" s="24">
        <v>74.900000000000006</v>
      </c>
    </row>
    <row r="6" spans="1:23" ht="14.4" customHeight="1" x14ac:dyDescent="0.3">
      <c r="A6" s="17">
        <f t="shared" si="0"/>
        <v>5</v>
      </c>
      <c r="B6" s="18">
        <v>6633</v>
      </c>
      <c r="C6" s="18">
        <f>_xlfn.XLOOKUP(__xlnm._FilterDatabase_1[[#This Row],[SAPSA Number]],Table1[SAPSA number],Table1[Paid up])</f>
        <v>0</v>
      </c>
      <c r="D6" s="19" t="str">
        <f>_xlfn.XLOOKUP(__xlnm._FilterDatabase_1[[#This Row],[SAPSA Number]],Table1[SAPSA number],Table1[Name])</f>
        <v>Allessandro Raffaele</v>
      </c>
      <c r="E6" s="39" t="str">
        <f>_xlfn.XLOOKUP(__xlnm._FilterDatabase_1[[#This Row],[SAPSA Number]],Table1[SAPSA number],Table1[Surname])</f>
        <v>Paschini</v>
      </c>
      <c r="F6" s="28" t="str">
        <f>_xlfn.XLOOKUP(__xlnm._FilterDatabase_1[[#This Row],[SAPSA Number]],Table1[SAPSA number],Table1[Initials])</f>
        <v>AR</v>
      </c>
      <c r="G6" s="17" t="str">
        <f ca="1">_xlfn.XLOOKUP(__xlnm._FilterDatabase_1[[#This Row],[SAPSA Number]],Table1[SAPSA number],Table1[Gender])</f>
        <v xml:space="preserve"> </v>
      </c>
      <c r="H6" s="19">
        <f ca="1">_xlfn.XLOOKUP(__xlnm._FilterDatabase_1[[#This Row],[SAPSA Number]],Table1[SAPSA number],Table1[Age])</f>
        <v>25</v>
      </c>
      <c r="I6" s="19" t="s">
        <v>233</v>
      </c>
      <c r="J6" s="21">
        <f t="shared" si="1"/>
        <v>4</v>
      </c>
      <c r="K6" s="22">
        <f t="shared" si="2"/>
        <v>68.981999999999999</v>
      </c>
      <c r="L6" s="23">
        <v>82.342500000000001</v>
      </c>
      <c r="M6" s="24">
        <v>90.490099999999998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75.979500000000002</v>
      </c>
      <c r="U6" s="24">
        <v>96.097899999999996</v>
      </c>
      <c r="V6" s="23">
        <v>0</v>
      </c>
      <c r="W6" s="24">
        <v>0</v>
      </c>
    </row>
    <row r="7" spans="1:23" ht="14.4" customHeight="1" x14ac:dyDescent="0.3">
      <c r="A7" s="17">
        <f t="shared" si="0"/>
        <v>6</v>
      </c>
      <c r="B7" s="18">
        <v>1777</v>
      </c>
      <c r="C7" s="18" t="str">
        <f>_xlfn.XLOOKUP(__xlnm._FilterDatabase_1[[#This Row],[SAPSA Number]],Table1[SAPSA number],Table1[Paid up])</f>
        <v>Y</v>
      </c>
      <c r="D7" s="19" t="str">
        <f>_xlfn.XLOOKUP(__xlnm._FilterDatabase_1[[#This Row],[SAPSA Number]],Table1[SAPSA number],Table1[Name])</f>
        <v xml:space="preserve">Leon </v>
      </c>
      <c r="E7" s="39" t="str">
        <f>_xlfn.XLOOKUP(__xlnm._FilterDatabase_1[[#This Row],[SAPSA Number]],Table1[SAPSA number],Table1[Surname])</f>
        <v>Myburgh</v>
      </c>
      <c r="F7" s="28" t="str">
        <f>_xlfn.XLOOKUP(__xlnm._FilterDatabase_1[[#This Row],[SAPSA Number]],Table1[SAPSA number],Table1[Initials])</f>
        <v>LC</v>
      </c>
      <c r="G7" s="17" t="str">
        <f ca="1">_xlfn.XLOOKUP(__xlnm._FilterDatabase_1[[#This Row],[SAPSA Number]],Table1[SAPSA number],Table1[Gender])</f>
        <v>S</v>
      </c>
      <c r="H7" s="19">
        <f ca="1">_xlfn.XLOOKUP(__xlnm._FilterDatabase_1[[#This Row],[SAPSA Number]],Table1[SAPSA number],Table1[Age])</f>
        <v>52</v>
      </c>
      <c r="I7" s="19" t="s">
        <v>233</v>
      </c>
      <c r="J7" s="21">
        <f t="shared" si="1"/>
        <v>4</v>
      </c>
      <c r="K7" s="22">
        <f t="shared" si="2"/>
        <v>66.995640000000009</v>
      </c>
      <c r="L7" s="23">
        <v>0</v>
      </c>
      <c r="M7" s="24">
        <v>80.112399999999994</v>
      </c>
      <c r="N7" s="23">
        <v>0</v>
      </c>
      <c r="O7" s="24">
        <v>0</v>
      </c>
      <c r="P7" s="23">
        <v>100</v>
      </c>
      <c r="Q7" s="24">
        <v>0</v>
      </c>
      <c r="R7" s="23">
        <v>0</v>
      </c>
      <c r="S7" s="24">
        <v>0</v>
      </c>
      <c r="T7" s="23">
        <v>84.485600000000005</v>
      </c>
      <c r="U7" s="24">
        <v>70.380200000000002</v>
      </c>
      <c r="V7" s="23">
        <v>0</v>
      </c>
      <c r="W7" s="24">
        <v>0</v>
      </c>
    </row>
    <row r="8" spans="1:23" ht="14.4" customHeight="1" x14ac:dyDescent="0.3">
      <c r="A8" s="17">
        <f t="shared" si="0"/>
        <v>7</v>
      </c>
      <c r="B8" s="25">
        <v>252</v>
      </c>
      <c r="C8" s="25" t="str">
        <f>_xlfn.XLOOKUP(__xlnm._FilterDatabase_1[[#This Row],[SAPSA Number]],Table1[SAPSA number],Table1[Paid up])</f>
        <v>Y</v>
      </c>
      <c r="D8" s="19" t="str">
        <f>_xlfn.XLOOKUP(__xlnm._FilterDatabase_1[[#This Row],[SAPSA Number]],Table1[SAPSA number],Table1[Name])</f>
        <v>Deon</v>
      </c>
      <c r="E8" s="39" t="str">
        <f>_xlfn.XLOOKUP(__xlnm._FilterDatabase_1[[#This Row],[SAPSA Number]],Table1[SAPSA number],Table1[Surname])</f>
        <v>Labuschagne</v>
      </c>
      <c r="F8" s="28" t="str">
        <f>_xlfn.XLOOKUP(__xlnm._FilterDatabase_1[[#This Row],[SAPSA Number]],Table1[SAPSA number],Table1[Initials])</f>
        <v>D</v>
      </c>
      <c r="G8" s="17" t="str">
        <f ca="1">_xlfn.XLOOKUP(__xlnm._FilterDatabase_1[[#This Row],[SAPSA Number]],Table1[SAPSA number],Table1[Gender])</f>
        <v>GS</v>
      </c>
      <c r="H8" s="19">
        <f ca="1">_xlfn.XLOOKUP(__xlnm._FilterDatabase_1[[#This Row],[SAPSA Number]],Table1[SAPSA number],Table1[Age])</f>
        <v>70</v>
      </c>
      <c r="I8" s="19" t="s">
        <v>233</v>
      </c>
      <c r="J8" s="21">
        <f t="shared" si="1"/>
        <v>5</v>
      </c>
      <c r="K8" s="22">
        <f t="shared" si="2"/>
        <v>59.452579999999998</v>
      </c>
      <c r="L8" s="23">
        <v>53.0062</v>
      </c>
      <c r="M8" s="24">
        <v>58.5505</v>
      </c>
      <c r="N8" s="23">
        <v>0</v>
      </c>
      <c r="O8" s="24">
        <v>0</v>
      </c>
      <c r="P8" s="23">
        <v>0</v>
      </c>
      <c r="Q8" s="24">
        <v>60.7849</v>
      </c>
      <c r="R8" s="23">
        <v>0</v>
      </c>
      <c r="S8" s="24">
        <v>62.021299999999997</v>
      </c>
      <c r="T8" s="23">
        <v>0</v>
      </c>
      <c r="U8" s="24">
        <v>0</v>
      </c>
      <c r="V8" s="23">
        <v>0</v>
      </c>
      <c r="W8" s="24">
        <v>62.9</v>
      </c>
    </row>
    <row r="9" spans="1:23" ht="14.4" customHeight="1" x14ac:dyDescent="0.3">
      <c r="A9" s="17">
        <f t="shared" si="0"/>
        <v>8</v>
      </c>
      <c r="B9" s="25">
        <v>2051</v>
      </c>
      <c r="C9" s="25" t="str">
        <f>_xlfn.XLOOKUP(__xlnm._FilterDatabase_1[[#This Row],[SAPSA Number]],Table1[SAPSA number],Table1[Paid up])</f>
        <v>Y</v>
      </c>
      <c r="D9" s="19" t="str">
        <f>_xlfn.XLOOKUP(__xlnm._FilterDatabase_1[[#This Row],[SAPSA Number]],Table1[SAPSA number],Table1[Name])</f>
        <v>Simon Adriaan</v>
      </c>
      <c r="E9" s="39" t="str">
        <f>_xlfn.XLOOKUP(__xlnm._FilterDatabase_1[[#This Row],[SAPSA Number]],Table1[SAPSA number],Table1[Surname])</f>
        <v>Vermooten</v>
      </c>
      <c r="F9" s="28" t="str">
        <f>_xlfn.XLOOKUP(__xlnm._FilterDatabase_1[[#This Row],[SAPSA Number]],Table1[SAPSA number],Table1[Initials])</f>
        <v>SA</v>
      </c>
      <c r="G9" s="17" t="str">
        <f ca="1">_xlfn.XLOOKUP(__xlnm._FilterDatabase_1[[#This Row],[SAPSA Number]],Table1[SAPSA number],Table1[Gender])</f>
        <v>GS</v>
      </c>
      <c r="H9" s="19">
        <f ca="1">_xlfn.XLOOKUP(__xlnm._FilterDatabase_1[[#This Row],[SAPSA Number]],Table1[SAPSA number],Table1[Age])</f>
        <v>72</v>
      </c>
      <c r="I9" s="19" t="s">
        <v>233</v>
      </c>
      <c r="J9" s="21">
        <f t="shared" si="1"/>
        <v>4</v>
      </c>
      <c r="K9" s="22">
        <f t="shared" si="2"/>
        <v>37.891579999999998</v>
      </c>
      <c r="L9" s="23">
        <v>43.6616</v>
      </c>
      <c r="M9" s="24">
        <v>39.222799999999999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51.973500000000001</v>
      </c>
      <c r="V9" s="23">
        <v>0</v>
      </c>
      <c r="W9" s="24">
        <v>54.6</v>
      </c>
    </row>
    <row r="10" spans="1:23" ht="14.4" customHeight="1" x14ac:dyDescent="0.3">
      <c r="A10" s="17">
        <f t="shared" si="0"/>
        <v>9</v>
      </c>
      <c r="B10" s="25">
        <v>572</v>
      </c>
      <c r="C10" s="25" t="str">
        <f>_xlfn.XLOOKUP(__xlnm._FilterDatabase_1[[#This Row],[SAPSA Number]],Table1[SAPSA number],Table1[Paid up])</f>
        <v>Y</v>
      </c>
      <c r="D10" s="19" t="str">
        <f>_xlfn.XLOOKUP(__xlnm._FilterDatabase_1[[#This Row],[SAPSA Number]],Table1[SAPSA number],Table1[Name])</f>
        <v>DJ</v>
      </c>
      <c r="E10" s="39" t="str">
        <f>_xlfn.XLOOKUP(__xlnm._FilterDatabase_1[[#This Row],[SAPSA Number]],Table1[SAPSA number],Table1[Surname])</f>
        <v>Smith</v>
      </c>
      <c r="F10" s="28" t="str">
        <f>_xlfn.XLOOKUP(__xlnm._FilterDatabase_1[[#This Row],[SAPSA Number]],Table1[SAPSA number],Table1[Initials])</f>
        <v>DJ</v>
      </c>
      <c r="G10" s="17" t="str">
        <f ca="1">_xlfn.XLOOKUP(__xlnm._FilterDatabase_1[[#This Row],[SAPSA Number]],Table1[SAPSA number],Table1[Gender])</f>
        <v>SS</v>
      </c>
      <c r="H10" s="19">
        <f ca="1">_xlfn.XLOOKUP(__xlnm._FilterDatabase_1[[#This Row],[SAPSA Number]],Table1[SAPSA number],Table1[Age])</f>
        <v>60</v>
      </c>
      <c r="I10" s="19" t="s">
        <v>233</v>
      </c>
      <c r="J10" s="21">
        <f t="shared" si="1"/>
        <v>1</v>
      </c>
      <c r="K10" s="22">
        <f t="shared" si="2"/>
        <v>20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100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0"/>
        <v>10</v>
      </c>
      <c r="B11" s="25">
        <v>1771</v>
      </c>
      <c r="C11" s="25" t="str">
        <f>_xlfn.XLOOKUP(__xlnm._FilterDatabase_1[[#This Row],[SAPSA Number]],Table1[SAPSA number],Table1[Paid up])</f>
        <v>Y</v>
      </c>
      <c r="D11" s="19" t="str">
        <f>_xlfn.XLOOKUP(__xlnm._FilterDatabase_1[[#This Row],[SAPSA Number]],Table1[SAPSA number],Table1[Name])</f>
        <v>Rodney Ralph</v>
      </c>
      <c r="E11" s="39" t="str">
        <f>_xlfn.XLOOKUP(__xlnm._FilterDatabase_1[[#This Row],[SAPSA Number]],Table1[SAPSA number],Table1[Surname])</f>
        <v>Mills</v>
      </c>
      <c r="F11" s="28" t="str">
        <f>_xlfn.XLOOKUP(__xlnm._FilterDatabase_1[[#This Row],[SAPSA Number]],Table1[SAPSA number],Table1[Initials])</f>
        <v>RR</v>
      </c>
      <c r="G11" s="17" t="str">
        <f ca="1">_xlfn.XLOOKUP(__xlnm._FilterDatabase_1[[#This Row],[SAPSA Number]],Table1[SAPSA number],Table1[Gender])</f>
        <v>GS</v>
      </c>
      <c r="H11" s="19">
        <f ca="1">_xlfn.XLOOKUP(__xlnm._FilterDatabase_1[[#This Row],[SAPSA Number]],Table1[SAPSA number],Table1[Age])</f>
        <v>81</v>
      </c>
      <c r="I11" s="19" t="s">
        <v>233</v>
      </c>
      <c r="J11" s="21">
        <f t="shared" si="1"/>
        <v>2</v>
      </c>
      <c r="K11" s="22">
        <f t="shared" si="2"/>
        <v>8.7769000000000013</v>
      </c>
      <c r="L11" s="23">
        <v>0</v>
      </c>
      <c r="M11" s="24">
        <v>0</v>
      </c>
      <c r="N11" s="23">
        <v>0</v>
      </c>
      <c r="O11" s="24">
        <v>19.3385</v>
      </c>
      <c r="P11" s="23">
        <v>0</v>
      </c>
      <c r="Q11" s="24">
        <v>24.545999999999999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0"/>
        <v>11</v>
      </c>
      <c r="B12" s="25">
        <v>7431</v>
      </c>
      <c r="C12" s="25">
        <f>_xlfn.XLOOKUP(__xlnm._FilterDatabase_1[[#This Row],[SAPSA Number]],Table1[SAPSA number],Table1[Paid up])</f>
        <v>0</v>
      </c>
      <c r="D12" s="19" t="str">
        <f>_xlfn.XLOOKUP(__xlnm._FilterDatabase_1[[#This Row],[SAPSA Number]],Table1[SAPSA number],Table1[Name])</f>
        <v>Anton</v>
      </c>
      <c r="E12" s="39" t="str">
        <f>_xlfn.XLOOKUP(__xlnm._FilterDatabase_1[[#This Row],[SAPSA Number]],Table1[SAPSA number],Table1[Surname])</f>
        <v>Booyse</v>
      </c>
      <c r="F12" s="28" t="str">
        <f>_xlfn.XLOOKUP(__xlnm._FilterDatabase_1[[#This Row],[SAPSA Number]],Table1[SAPSA number],Table1[Initials])</f>
        <v>A</v>
      </c>
      <c r="G12" s="17">
        <f>_xlfn.XLOOKUP(__xlnm._FilterDatabase_1[[#This Row],[SAPSA Number]],Table1[SAPSA number],Table1[Gender])</f>
        <v>0</v>
      </c>
      <c r="H12" s="19">
        <f>_xlfn.XLOOKUP(__xlnm._FilterDatabase_1[[#This Row],[SAPSA Number]],Table1[SAPSA number],Table1[Age])</f>
        <v>0</v>
      </c>
      <c r="I12" s="19" t="s">
        <v>233</v>
      </c>
      <c r="J12" s="21">
        <f t="shared" si="1"/>
        <v>1</v>
      </c>
      <c r="K12" s="22">
        <f t="shared" si="2"/>
        <v>4.3685999999999998</v>
      </c>
      <c r="L12" s="23">
        <v>0</v>
      </c>
      <c r="M12" s="24">
        <v>0</v>
      </c>
      <c r="N12" s="23">
        <v>0</v>
      </c>
      <c r="O12" s="24">
        <v>0</v>
      </c>
      <c r="P12" s="23">
        <v>21.843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0"/>
        <v>12</v>
      </c>
      <c r="B13" s="25">
        <v>7328</v>
      </c>
      <c r="C13" s="25" t="str">
        <f>_xlfn.XLOOKUP(__xlnm._FilterDatabase_1[[#This Row],[SAPSA Number]],Table1[SAPSA number],Table1[Paid up])</f>
        <v>Y</v>
      </c>
      <c r="D13" s="19" t="str">
        <f>_xlfn.XLOOKUP(__xlnm._FilterDatabase_1[[#This Row],[SAPSA Number]],Table1[SAPSA number],Table1[Name])</f>
        <v>Sizwe</v>
      </c>
      <c r="E13" s="39" t="str">
        <f>_xlfn.XLOOKUP(__xlnm._FilterDatabase_1[[#This Row],[SAPSA Number]],Table1[SAPSA number],Table1[Surname])</f>
        <v>Hlongwane</v>
      </c>
      <c r="F13" s="28" t="str">
        <f>_xlfn.XLOOKUP(__xlnm._FilterDatabase_1[[#This Row],[SAPSA Number]],Table1[SAPSA number],Table1[Initials])</f>
        <v>S</v>
      </c>
      <c r="G13" s="17" t="str">
        <f ca="1">_xlfn.XLOOKUP(__xlnm._FilterDatabase_1[[#This Row],[SAPSA Number]],Table1[SAPSA number],Table1[Gender])</f>
        <v xml:space="preserve"> </v>
      </c>
      <c r="H13" s="19">
        <f ca="1">_xlfn.XLOOKUP(__xlnm._FilterDatabase_1[[#This Row],[SAPSA Number]],Table1[SAPSA number],Table1[Age])</f>
        <v>44</v>
      </c>
      <c r="I13" s="19" t="s">
        <v>233</v>
      </c>
      <c r="J13" s="21">
        <f t="shared" si="1"/>
        <v>2</v>
      </c>
      <c r="K13" s="22">
        <f t="shared" si="2"/>
        <v>3.0034000000000001</v>
      </c>
      <c r="L13" s="23">
        <v>0</v>
      </c>
      <c r="M13" s="24">
        <v>4.4321999999999999</v>
      </c>
      <c r="N13" s="23">
        <v>0</v>
      </c>
      <c r="O13" s="24">
        <v>10.5848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0"/>
        <v>13</v>
      </c>
      <c r="B14" s="25">
        <v>1471</v>
      </c>
      <c r="C14" s="25" t="str">
        <f>_xlfn.XLOOKUP(__xlnm._FilterDatabase_1[[#This Row],[SAPSA Number]],Table1[SAPSA number],Table1[Paid up])</f>
        <v>Y</v>
      </c>
      <c r="D14" s="19" t="str">
        <f>_xlfn.XLOOKUP(__xlnm._FilterDatabase_1[[#This Row],[SAPSA Number]],Table1[SAPSA number],Table1[Name])</f>
        <v>Nikolaus Phillip Karl</v>
      </c>
      <c r="E14" s="39" t="str">
        <f>_xlfn.XLOOKUP(__xlnm._FilterDatabase_1[[#This Row],[SAPSA Number]],Table1[SAPSA number],Table1[Surname])</f>
        <v>Bernhard</v>
      </c>
      <c r="F14" s="28" t="str">
        <f>_xlfn.XLOOKUP(__xlnm._FilterDatabase_1[[#This Row],[SAPSA Number]],Table1[SAPSA number],Table1[Initials])</f>
        <v>NPK</v>
      </c>
      <c r="G14" s="17" t="str">
        <f ca="1">_xlfn.XLOOKUP(__xlnm._FilterDatabase_1[[#This Row],[SAPSA Number]],Table1[SAPSA number],Table1[Gender])</f>
        <v xml:space="preserve"> </v>
      </c>
      <c r="H14" s="19">
        <f ca="1">_xlfn.XLOOKUP(__xlnm._FilterDatabase_1[[#This Row],[SAPSA Number]],Table1[SAPSA number],Table1[Age])</f>
        <v>43</v>
      </c>
      <c r="I14" s="19" t="s">
        <v>233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0"/>
        <v>13</v>
      </c>
      <c r="B15" s="25">
        <v>4624</v>
      </c>
      <c r="C15" s="25" t="str">
        <f>_xlfn.XLOOKUP(__xlnm._FilterDatabase_1[[#This Row],[SAPSA Number]],Table1[SAPSA number],Table1[Paid up])</f>
        <v>Y</v>
      </c>
      <c r="D15" s="19" t="str">
        <f>_xlfn.XLOOKUP(__xlnm._FilterDatabase_1[[#This Row],[SAPSA Number]],Table1[SAPSA number],Table1[Name])</f>
        <v>Stephanus Christiaan</v>
      </c>
      <c r="E15" s="39" t="str">
        <f>_xlfn.XLOOKUP(__xlnm._FilterDatabase_1[[#This Row],[SAPSA Number]],Table1[SAPSA number],Table1[Surname])</f>
        <v>Bester</v>
      </c>
      <c r="F15" s="28" t="str">
        <f>_xlfn.XLOOKUP(__xlnm._FilterDatabase_1[[#This Row],[SAPSA Number]],Table1[SAPSA number],Table1[Initials])</f>
        <v>SC</v>
      </c>
      <c r="G15" s="17" t="str">
        <f ca="1">_xlfn.XLOOKUP(__xlnm._FilterDatabase_1[[#This Row],[SAPSA Number]],Table1[SAPSA number],Table1[Gender])</f>
        <v>S</v>
      </c>
      <c r="H15" s="19">
        <f ca="1">_xlfn.XLOOKUP(__xlnm._FilterDatabase_1[[#This Row],[SAPSA Number]],Table1[SAPSA number],Table1[Age])</f>
        <v>57</v>
      </c>
      <c r="I15" s="19" t="s">
        <v>233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0"/>
        <v>13</v>
      </c>
      <c r="B16" s="25">
        <v>3349</v>
      </c>
      <c r="C16" s="25">
        <f>_xlfn.XLOOKUP(__xlnm._FilterDatabase_1[[#This Row],[SAPSA Number]],Table1[SAPSA number],Table1[Paid up])</f>
        <v>0</v>
      </c>
      <c r="D16" s="19" t="str">
        <f>_xlfn.XLOOKUP(__xlnm._FilterDatabase_1[[#This Row],[SAPSA Number]],Table1[SAPSA number],Table1[Name])</f>
        <v>Stefanus Christiaan</v>
      </c>
      <c r="E16" s="39" t="str">
        <f>_xlfn.XLOOKUP(__xlnm._FilterDatabase_1[[#This Row],[SAPSA Number]],Table1[SAPSA number],Table1[Surname])</f>
        <v>Bosch</v>
      </c>
      <c r="F16" s="28" t="str">
        <f>_xlfn.XLOOKUP(__xlnm._FilterDatabase_1[[#This Row],[SAPSA Number]],Table1[SAPSA number],Table1[Initials])</f>
        <v>SC</v>
      </c>
      <c r="G16" s="17" t="str">
        <f ca="1">_xlfn.XLOOKUP(__xlnm._FilterDatabase_1[[#This Row],[SAPSA Number]],Table1[SAPSA number],Table1[Gender])</f>
        <v>S</v>
      </c>
      <c r="H16" s="19">
        <f ca="1">_xlfn.XLOOKUP(__xlnm._FilterDatabase_1[[#This Row],[SAPSA Number]],Table1[SAPSA number],Table1[Age])</f>
        <v>53</v>
      </c>
      <c r="I16" s="19" t="s">
        <v>233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>RANK(K17,K$2:K$163,0)</f>
        <v>13</v>
      </c>
      <c r="B17" s="18">
        <v>4621</v>
      </c>
      <c r="C17" s="25">
        <f>_xlfn.XLOOKUP(__xlnm._FilterDatabase_1[[#This Row],[SAPSA Number]],Table1[SAPSA number],Table1[Paid up])</f>
        <v>0</v>
      </c>
      <c r="D17" s="19" t="str">
        <f>_xlfn.XLOOKUP(__xlnm._FilterDatabase_1[[#This Row],[SAPSA Number]],Table1[SAPSA number],Table1[Name])</f>
        <v>Colin</v>
      </c>
      <c r="E17" s="39" t="str">
        <f>_xlfn.XLOOKUP(__xlnm._FilterDatabase_1[[#This Row],[SAPSA Number]],Table1[SAPSA number],Table1[Surname])</f>
        <v>Bowring</v>
      </c>
      <c r="F17" s="28" t="str">
        <f>_xlfn.XLOOKUP(__xlnm._FilterDatabase_1[[#This Row],[SAPSA Number]],Table1[SAPSA number],Table1[Initials])</f>
        <v>C</v>
      </c>
      <c r="G17" s="17" t="str">
        <f ca="1">_xlfn.XLOOKUP(__xlnm._FilterDatabase_1[[#This Row],[SAPSA Number]],Table1[SAPSA number],Table1[Gender])</f>
        <v>SS</v>
      </c>
      <c r="H17" s="19">
        <f ca="1">_xlfn.XLOOKUP(__xlnm._FilterDatabase_1[[#This Row],[SAPSA Number]],Table1[SAPSA number],Table1[Age])</f>
        <v>63</v>
      </c>
      <c r="I17" s="19" t="s">
        <v>233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ref="A18:A49" si="3">RANK(K18,K$2:K$144,0)</f>
        <v>13</v>
      </c>
      <c r="B18" s="18">
        <v>3338</v>
      </c>
      <c r="C18" s="25">
        <f>_xlfn.XLOOKUP(__xlnm._FilterDatabase_1[[#This Row],[SAPSA Number]],Table1[SAPSA number],Table1[Paid up])</f>
        <v>0</v>
      </c>
      <c r="D18" s="19" t="str">
        <f>_xlfn.XLOOKUP(__xlnm._FilterDatabase_1[[#This Row],[SAPSA Number]],Table1[SAPSA number],Table1[Name])</f>
        <v>Carl Johann</v>
      </c>
      <c r="E18" s="39" t="str">
        <f>_xlfn.XLOOKUP(__xlnm._FilterDatabase_1[[#This Row],[SAPSA Number]],Table1[SAPSA number],Table1[Surname])</f>
        <v>Brandt</v>
      </c>
      <c r="F18" s="28" t="str">
        <f>_xlfn.XLOOKUP(__xlnm._FilterDatabase_1[[#This Row],[SAPSA Number]],Table1[SAPSA number],Table1[Initials])</f>
        <v>CJ</v>
      </c>
      <c r="G18" s="17" t="str">
        <f ca="1">_xlfn.XLOOKUP(__xlnm._FilterDatabase_1[[#This Row],[SAPSA Number]],Table1[SAPSA number],Table1[Gender])</f>
        <v>S</v>
      </c>
      <c r="H18" s="19">
        <f ca="1">_xlfn.XLOOKUP(__xlnm._FilterDatabase_1[[#This Row],[SAPSA Number]],Table1[SAPSA number],Table1[Age])</f>
        <v>54</v>
      </c>
      <c r="I18" s="19" t="s">
        <v>233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3"/>
        <v>13</v>
      </c>
      <c r="B19" s="25">
        <v>3350</v>
      </c>
      <c r="C19" s="25">
        <f>_xlfn.XLOOKUP(__xlnm._FilterDatabase_1[[#This Row],[SAPSA Number]],Table1[SAPSA number],Table1[Paid up])</f>
        <v>0</v>
      </c>
      <c r="D19" s="19" t="str">
        <f>_xlfn.XLOOKUP(__xlnm._FilterDatabase_1[[#This Row],[SAPSA Number]],Table1[SAPSA number],Table1[Name])</f>
        <v>Conrad Ernest</v>
      </c>
      <c r="E19" s="39" t="str">
        <f>_xlfn.XLOOKUP(__xlnm._FilterDatabase_1[[#This Row],[SAPSA Number]],Table1[SAPSA number],Table1[Surname])</f>
        <v>Brandt</v>
      </c>
      <c r="F19" s="28" t="str">
        <f>_xlfn.XLOOKUP(__xlnm._FilterDatabase_1[[#This Row],[SAPSA Number]],Table1[SAPSA number],Table1[Initials])</f>
        <v>CE</v>
      </c>
      <c r="G19" s="17" t="str">
        <f ca="1">_xlfn.XLOOKUP(__xlnm._FilterDatabase_1[[#This Row],[SAPSA Number]],Table1[SAPSA number],Table1[Gender])</f>
        <v>S</v>
      </c>
      <c r="H19" s="19">
        <f ca="1">_xlfn.XLOOKUP(__xlnm._FilterDatabase_1[[#This Row],[SAPSA Number]],Table1[SAPSA number],Table1[Age])</f>
        <v>51</v>
      </c>
      <c r="I19" s="19" t="s">
        <v>233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3"/>
        <v>13</v>
      </c>
      <c r="B20" s="25">
        <v>3576</v>
      </c>
      <c r="C20" s="25" t="str">
        <f>_xlfn.XLOOKUP(__xlnm._FilterDatabase_1[[#This Row],[SAPSA Number]],Table1[SAPSA number],Table1[Paid up])</f>
        <v>Y</v>
      </c>
      <c r="D20" s="19" t="str">
        <f>_xlfn.XLOOKUP(__xlnm._FilterDatabase_1[[#This Row],[SAPSA Number]],Table1[SAPSA number],Table1[Name])</f>
        <v>Christoff Mechiel</v>
      </c>
      <c r="E20" s="39" t="str">
        <f>_xlfn.XLOOKUP(__xlnm._FilterDatabase_1[[#This Row],[SAPSA Number]],Table1[SAPSA number],Table1[Surname])</f>
        <v>Brandt</v>
      </c>
      <c r="F20" s="28" t="str">
        <f>_xlfn.XLOOKUP(__xlnm._FilterDatabase_1[[#This Row],[SAPSA Number]],Table1[SAPSA number],Table1[Initials])</f>
        <v>CM</v>
      </c>
      <c r="G20" s="17" t="str">
        <f ca="1">_xlfn.XLOOKUP(__xlnm._FilterDatabase_1[[#This Row],[SAPSA Number]],Table1[SAPSA number],Table1[Gender])</f>
        <v xml:space="preserve"> </v>
      </c>
      <c r="H20" s="19">
        <f ca="1">_xlfn.XLOOKUP(__xlnm._FilterDatabase_1[[#This Row],[SAPSA Number]],Table1[SAPSA number],Table1[Age])</f>
        <v>47</v>
      </c>
      <c r="I20" s="19" t="s">
        <v>233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3"/>
        <v>13</v>
      </c>
      <c r="B21" s="87">
        <v>5304</v>
      </c>
      <c r="C21" s="25">
        <f>_xlfn.XLOOKUP(__xlnm._FilterDatabase_1[[#This Row],[SAPSA Number]],Table1[SAPSA number],Table1[Paid up])</f>
        <v>0</v>
      </c>
      <c r="D21" s="19" t="str">
        <f>_xlfn.XLOOKUP(__xlnm._FilterDatabase_1[[#This Row],[SAPSA Number]],Table1[SAPSA number],Table1[Name])</f>
        <v>Johan Gerard</v>
      </c>
      <c r="E21" s="39" t="str">
        <f>_xlfn.XLOOKUP(__xlnm._FilterDatabase_1[[#This Row],[SAPSA Number]],Table1[SAPSA number],Table1[Surname])</f>
        <v>Bultman</v>
      </c>
      <c r="F21" s="28" t="str">
        <f>_xlfn.XLOOKUP(__xlnm._FilterDatabase_1[[#This Row],[SAPSA Number]],Table1[SAPSA number],Table1[Initials])</f>
        <v>JG</v>
      </c>
      <c r="G21" s="17" t="str">
        <f ca="1">_xlfn.XLOOKUP(__xlnm._FilterDatabase_1[[#This Row],[SAPSA Number]],Table1[SAPSA number],Table1[Gender])</f>
        <v xml:space="preserve"> </v>
      </c>
      <c r="H21" s="19">
        <f ca="1">_xlfn.XLOOKUP(__xlnm._FilterDatabase_1[[#This Row],[SAPSA Number]],Table1[SAPSA number],Table1[Age])</f>
        <v>41</v>
      </c>
      <c r="I21" s="19" t="s">
        <v>233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3"/>
        <v>13</v>
      </c>
      <c r="B22" s="86">
        <v>259</v>
      </c>
      <c r="C22" s="25" t="str">
        <f>_xlfn.XLOOKUP(__xlnm._FilterDatabase_1[[#This Row],[SAPSA Number]],Table1[SAPSA number],Table1[Paid up])</f>
        <v>Y</v>
      </c>
      <c r="D22" s="19" t="str">
        <f>_xlfn.XLOOKUP(__xlnm._FilterDatabase_1[[#This Row],[SAPSA Number]],Table1[SAPSA number],Table1[Name])</f>
        <v>Kathleen Beresford</v>
      </c>
      <c r="E22" s="39" t="str">
        <f>_xlfn.XLOOKUP(__xlnm._FilterDatabase_1[[#This Row],[SAPSA Number]],Table1[SAPSA number],Table1[Surname])</f>
        <v>Carter</v>
      </c>
      <c r="F22" s="28" t="str">
        <f>_xlfn.XLOOKUP(__xlnm._FilterDatabase_1[[#This Row],[SAPSA Number]],Table1[SAPSA number],Table1[Initials])</f>
        <v>KB</v>
      </c>
      <c r="G22" s="17" t="str">
        <f>_xlfn.XLOOKUP(__xlnm._FilterDatabase_1[[#This Row],[SAPSA Number]],Table1[SAPSA number],Table1[Gender])</f>
        <v>Lady</v>
      </c>
      <c r="H22" s="19">
        <f ca="1">_xlfn.XLOOKUP(__xlnm._FilterDatabase_1[[#This Row],[SAPSA Number]],Table1[SAPSA number],Table1[Age])</f>
        <v>39</v>
      </c>
      <c r="I22" s="19" t="s">
        <v>233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3"/>
        <v>13</v>
      </c>
      <c r="B23" s="86">
        <v>4316</v>
      </c>
      <c r="C23" s="25" t="str">
        <f>_xlfn.XLOOKUP(__xlnm._FilterDatabase_1[[#This Row],[SAPSA Number]],Table1[SAPSA number],Table1[Paid up])</f>
        <v>Y</v>
      </c>
      <c r="D23" s="19" t="str">
        <f>_xlfn.XLOOKUP(__xlnm._FilterDatabase_1[[#This Row],[SAPSA Number]],Table1[SAPSA number],Table1[Name])</f>
        <v>Wilhelm Jacobus</v>
      </c>
      <c r="E23" s="39" t="str">
        <f>_xlfn.XLOOKUP(__xlnm._FilterDatabase_1[[#This Row],[SAPSA Number]],Table1[SAPSA number],Table1[Surname])</f>
        <v>Coetzee</v>
      </c>
      <c r="F23" s="28" t="str">
        <f>_xlfn.XLOOKUP(__xlnm._FilterDatabase_1[[#This Row],[SAPSA Number]],Table1[SAPSA number],Table1[Initials])</f>
        <v>WJ</v>
      </c>
      <c r="G23" s="17" t="str">
        <f ca="1">_xlfn.XLOOKUP(__xlnm._FilterDatabase_1[[#This Row],[SAPSA Number]],Table1[SAPSA number],Table1[Gender])</f>
        <v>S</v>
      </c>
      <c r="H23" s="19">
        <f ca="1">_xlfn.XLOOKUP(__xlnm._FilterDatabase_1[[#This Row],[SAPSA Number]],Table1[SAPSA number],Table1[Age])</f>
        <v>55</v>
      </c>
      <c r="I23" s="19" t="s">
        <v>233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3"/>
        <v>13</v>
      </c>
      <c r="B24" s="86">
        <v>591</v>
      </c>
      <c r="C24" s="25" t="str">
        <f>_xlfn.XLOOKUP(__xlnm._FilterDatabase_1[[#This Row],[SAPSA Number]],Table1[SAPSA number],Table1[Paid up])</f>
        <v>Y</v>
      </c>
      <c r="D24" s="19" t="str">
        <f>_xlfn.XLOOKUP(__xlnm._FilterDatabase_1[[#This Row],[SAPSA Number]],Table1[SAPSA number],Table1[Name])</f>
        <v>Enrico</v>
      </c>
      <c r="E24" s="39" t="str">
        <f>_xlfn.XLOOKUP(__xlnm._FilterDatabase_1[[#This Row],[SAPSA Number]],Table1[SAPSA number],Table1[Surname])</f>
        <v>Cupido</v>
      </c>
      <c r="F24" s="28" t="str">
        <f>_xlfn.XLOOKUP(__xlnm._FilterDatabase_1[[#This Row],[SAPSA Number]],Table1[SAPSA number],Table1[Initials])</f>
        <v>E</v>
      </c>
      <c r="G24" s="17" t="str">
        <f ca="1">_xlfn.XLOOKUP(__xlnm._FilterDatabase_1[[#This Row],[SAPSA Number]],Table1[SAPSA number],Table1[Gender])</f>
        <v>GS</v>
      </c>
      <c r="H24" s="19">
        <f ca="1">_xlfn.XLOOKUP(__xlnm._FilterDatabase_1[[#This Row],[SAPSA Number]],Table1[SAPSA number],Table1[Age])</f>
        <v>75</v>
      </c>
      <c r="I24" s="19" t="s">
        <v>233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3"/>
        <v>13</v>
      </c>
      <c r="B25" s="86">
        <v>601</v>
      </c>
      <c r="C25" s="25" t="str">
        <f>_xlfn.XLOOKUP(__xlnm._FilterDatabase_1[[#This Row],[SAPSA Number]],Table1[SAPSA number],Table1[Paid up])</f>
        <v>Y</v>
      </c>
      <c r="D25" s="19" t="str">
        <f>_xlfn.XLOOKUP(__xlnm._FilterDatabase_1[[#This Row],[SAPSA Number]],Table1[SAPSA number],Table1[Name])</f>
        <v>Piero</v>
      </c>
      <c r="E25" s="39" t="str">
        <f>_xlfn.XLOOKUP(__xlnm._FilterDatabase_1[[#This Row],[SAPSA Number]],Table1[SAPSA number],Table1[Surname])</f>
        <v>Cupido</v>
      </c>
      <c r="F25" s="28" t="str">
        <f>_xlfn.XLOOKUP(__xlnm._FilterDatabase_1[[#This Row],[SAPSA Number]],Table1[SAPSA number],Table1[Initials])</f>
        <v>P</v>
      </c>
      <c r="G25" s="17" t="str">
        <f ca="1">_xlfn.XLOOKUP(__xlnm._FilterDatabase_1[[#This Row],[SAPSA Number]],Table1[SAPSA number],Table1[Gender])</f>
        <v xml:space="preserve"> </v>
      </c>
      <c r="H25" s="19">
        <f ca="1">_xlfn.XLOOKUP(__xlnm._FilterDatabase_1[[#This Row],[SAPSA Number]],Table1[SAPSA number],Table1[Age])</f>
        <v>47</v>
      </c>
      <c r="I25" s="19" t="s">
        <v>233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3"/>
        <v>13</v>
      </c>
      <c r="B26" s="86">
        <v>288</v>
      </c>
      <c r="C26" s="25" t="str">
        <f>_xlfn.XLOOKUP(__xlnm._FilterDatabase_1[[#This Row],[SAPSA Number]],Table1[SAPSA number],Table1[Paid up])</f>
        <v>Y</v>
      </c>
      <c r="D26" s="19" t="str">
        <f>_xlfn.XLOOKUP(__xlnm._FilterDatabase_1[[#This Row],[SAPSA Number]],Table1[SAPSA number],Table1[Name])</f>
        <v>Feroz</v>
      </c>
      <c r="E26" s="39" t="str">
        <f>_xlfn.XLOOKUP(__xlnm._FilterDatabase_1[[#This Row],[SAPSA Number]],Table1[SAPSA number],Table1[Surname])</f>
        <v>Daya</v>
      </c>
      <c r="F26" s="28" t="str">
        <f>_xlfn.XLOOKUP(__xlnm._FilterDatabase_1[[#This Row],[SAPSA Number]],Table1[SAPSA number],Table1[Initials])</f>
        <v>F</v>
      </c>
      <c r="G26" s="17" t="str">
        <f ca="1">_xlfn.XLOOKUP(__xlnm._FilterDatabase_1[[#This Row],[SAPSA Number]],Table1[SAPSA number],Table1[Gender])</f>
        <v>S</v>
      </c>
      <c r="H26" s="19">
        <f ca="1">_xlfn.XLOOKUP(__xlnm._FilterDatabase_1[[#This Row],[SAPSA Number]],Table1[SAPSA number],Table1[Age])</f>
        <v>53</v>
      </c>
      <c r="I26" s="19" t="s">
        <v>233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3"/>
        <v>13</v>
      </c>
      <c r="B27" s="25">
        <v>6846</v>
      </c>
      <c r="C27" s="25">
        <f>_xlfn.XLOOKUP(__xlnm._FilterDatabase_1[[#This Row],[SAPSA Number]],Table1[SAPSA number],Table1[Paid up])</f>
        <v>0</v>
      </c>
      <c r="D27" s="19" t="str">
        <f>_xlfn.XLOOKUP(__xlnm._FilterDatabase_1[[#This Row],[SAPSA Number]],Table1[SAPSA number],Table1[Name])</f>
        <v>Daniel Stephanus Jacobus</v>
      </c>
      <c r="E27" s="39" t="str">
        <f>_xlfn.XLOOKUP(__xlnm._FilterDatabase_1[[#This Row],[SAPSA Number]],Table1[SAPSA number],Table1[Surname])</f>
        <v>Dreyer</v>
      </c>
      <c r="F27" s="28" t="str">
        <f>_xlfn.XLOOKUP(__xlnm._FilterDatabase_1[[#This Row],[SAPSA Number]],Table1[SAPSA number],Table1[Initials])</f>
        <v>DSJ</v>
      </c>
      <c r="G27" s="17" t="str">
        <f ca="1">_xlfn.XLOOKUP(__xlnm._FilterDatabase_1[[#This Row],[SAPSA Number]],Table1[SAPSA number],Table1[Gender])</f>
        <v xml:space="preserve"> </v>
      </c>
      <c r="H27" s="19">
        <f ca="1">_xlfn.XLOOKUP(__xlnm._FilterDatabase_1[[#This Row],[SAPSA Number]],Table1[SAPSA number],Table1[Age])</f>
        <v>42</v>
      </c>
      <c r="I27" s="19" t="s">
        <v>233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3"/>
        <v>13</v>
      </c>
      <c r="B28" s="25">
        <v>392</v>
      </c>
      <c r="C28" s="25" t="str">
        <f>_xlfn.XLOOKUP(__xlnm._FilterDatabase_1[[#This Row],[SAPSA Number]],Table1[SAPSA number],Table1[Paid up])</f>
        <v>Y</v>
      </c>
      <c r="D28" s="19" t="str">
        <f>_xlfn.XLOOKUP(__xlnm._FilterDatabase_1[[#This Row],[SAPSA Number]],Table1[SAPSA number],Table1[Name])</f>
        <v>Sasha-Lee</v>
      </c>
      <c r="E28" s="39" t="str">
        <f>_xlfn.XLOOKUP(__xlnm._FilterDatabase_1[[#This Row],[SAPSA Number]],Table1[SAPSA number],Table1[Surname])</f>
        <v>Du Plessis</v>
      </c>
      <c r="F28" s="28" t="str">
        <f>_xlfn.XLOOKUP(__xlnm._FilterDatabase_1[[#This Row],[SAPSA Number]],Table1[SAPSA number],Table1[Initials])</f>
        <v>SL</v>
      </c>
      <c r="G28" s="17" t="str">
        <f>_xlfn.XLOOKUP(__xlnm._FilterDatabase_1[[#This Row],[SAPSA Number]],Table1[SAPSA number],Table1[Gender])</f>
        <v>Lady</v>
      </c>
      <c r="H28" s="19">
        <f ca="1">_xlfn.XLOOKUP(__xlnm._FilterDatabase_1[[#This Row],[SAPSA Number]],Table1[SAPSA number],Table1[Age])</f>
        <v>32</v>
      </c>
      <c r="I28" s="19" t="s">
        <v>233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3"/>
        <v>13</v>
      </c>
      <c r="B29" s="25">
        <v>393</v>
      </c>
      <c r="C29" s="25" t="str">
        <f>_xlfn.XLOOKUP(__xlnm._FilterDatabase_1[[#This Row],[SAPSA Number]],Table1[SAPSA number],Table1[Paid up])</f>
        <v>Y</v>
      </c>
      <c r="D29" s="19" t="str">
        <f>_xlfn.XLOOKUP(__xlnm._FilterDatabase_1[[#This Row],[SAPSA Number]],Table1[SAPSA number],Table1[Name])</f>
        <v>Robyn Angela</v>
      </c>
      <c r="E29" s="39" t="str">
        <f>_xlfn.XLOOKUP(__xlnm._FilterDatabase_1[[#This Row],[SAPSA Number]],Table1[SAPSA number],Table1[Surname])</f>
        <v>Evans</v>
      </c>
      <c r="F29" s="28" t="str">
        <f>_xlfn.XLOOKUP(__xlnm._FilterDatabase_1[[#This Row],[SAPSA Number]],Table1[SAPSA number],Table1[Initials])</f>
        <v>RA</v>
      </c>
      <c r="G29" s="17" t="str">
        <f>_xlfn.XLOOKUP(__xlnm._FilterDatabase_1[[#This Row],[SAPSA Number]],Table1[SAPSA number],Table1[Gender])</f>
        <v>Lady</v>
      </c>
      <c r="H29" s="19">
        <f ca="1">_xlfn.XLOOKUP(__xlnm._FilterDatabase_1[[#This Row],[SAPSA Number]],Table1[SAPSA number],Table1[Age])</f>
        <v>60</v>
      </c>
      <c r="I29" s="19" t="s">
        <v>233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3"/>
        <v>13</v>
      </c>
      <c r="B30" s="26">
        <v>3173</v>
      </c>
      <c r="C30" s="25" t="str">
        <f>_xlfn.XLOOKUP(__xlnm._FilterDatabase_1[[#This Row],[SAPSA Number]],Table1[SAPSA number],Table1[Paid up])</f>
        <v>Y</v>
      </c>
      <c r="D30" s="19" t="str">
        <f>_xlfn.XLOOKUP(__xlnm._FilterDatabase_1[[#This Row],[SAPSA Number]],Table1[SAPSA number],Table1[Name])</f>
        <v>Garrett-John</v>
      </c>
      <c r="E30" s="39" t="str">
        <f>_xlfn.XLOOKUP(__xlnm._FilterDatabase_1[[#This Row],[SAPSA Number]],Table1[SAPSA number],Table1[Surname])</f>
        <v>Evans</v>
      </c>
      <c r="F30" s="28" t="str">
        <f>_xlfn.XLOOKUP(__xlnm._FilterDatabase_1[[#This Row],[SAPSA Number]],Table1[SAPSA number],Table1[Initials])</f>
        <v>G-J</v>
      </c>
      <c r="G30" s="17" t="str">
        <f ca="1">_xlfn.XLOOKUP(__xlnm._FilterDatabase_1[[#This Row],[SAPSA Number]],Table1[SAPSA number],Table1[Gender])</f>
        <v xml:space="preserve"> </v>
      </c>
      <c r="H30" s="19">
        <f ca="1">_xlfn.XLOOKUP(__xlnm._FilterDatabase_1[[#This Row],[SAPSA Number]],Table1[SAPSA number],Table1[Age])</f>
        <v>32</v>
      </c>
      <c r="I30" s="19" t="s">
        <v>233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13</v>
      </c>
      <c r="B31" s="25">
        <v>7434</v>
      </c>
      <c r="C31" s="25">
        <f>_xlfn.XLOOKUP(__xlnm._FilterDatabase_1[[#This Row],[SAPSA Number]],Table1[SAPSA number],Table1[Paid up])</f>
        <v>0</v>
      </c>
      <c r="D31" s="19" t="str">
        <f>_xlfn.XLOOKUP(__xlnm._FilterDatabase_1[[#This Row],[SAPSA Number]],Table1[SAPSA number],Table1[Name])</f>
        <v>Shannon Kimberley</v>
      </c>
      <c r="E31" s="39" t="str">
        <f>_xlfn.XLOOKUP(__xlnm._FilterDatabase_1[[#This Row],[SAPSA Number]],Table1[SAPSA number],Table1[Surname])</f>
        <v>Gahagan</v>
      </c>
      <c r="F31" s="28" t="str">
        <f>_xlfn.XLOOKUP(__xlnm._FilterDatabase_1[[#This Row],[SAPSA Number]],Table1[SAPSA number],Table1[Initials])</f>
        <v>S</v>
      </c>
      <c r="G31" s="17" t="str">
        <f>_xlfn.XLOOKUP(__xlnm._FilterDatabase_1[[#This Row],[SAPSA Number]],Table1[SAPSA number],Table1[Gender])</f>
        <v>Lady</v>
      </c>
      <c r="H31" s="19">
        <f ca="1">_xlfn.XLOOKUP(__xlnm._FilterDatabase_1[[#This Row],[SAPSA Number]],Table1[SAPSA number],Table1[Age])</f>
        <v>33</v>
      </c>
      <c r="I31" s="19" t="s">
        <v>233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13</v>
      </c>
      <c r="B32" s="25">
        <v>3782</v>
      </c>
      <c r="C32" s="25">
        <f>_xlfn.XLOOKUP(__xlnm._FilterDatabase_1[[#This Row],[SAPSA Number]],Table1[SAPSA number],Table1[Paid up])</f>
        <v>0</v>
      </c>
      <c r="D32" s="19" t="str">
        <f>_xlfn.XLOOKUP(__xlnm._FilterDatabase_1[[#This Row],[SAPSA Number]],Table1[SAPSA number],Table1[Name])</f>
        <v>Gary Athol</v>
      </c>
      <c r="E32" s="39" t="str">
        <f>_xlfn.XLOOKUP(__xlnm._FilterDatabase_1[[#This Row],[SAPSA Number]],Table1[SAPSA number],Table1[Surname])</f>
        <v>Hagemann</v>
      </c>
      <c r="F32" s="28" t="str">
        <f>_xlfn.XLOOKUP(__xlnm._FilterDatabase_1[[#This Row],[SAPSA Number]],Table1[SAPSA number],Table1[Initials])</f>
        <v>GA</v>
      </c>
      <c r="G32" s="17" t="str">
        <f ca="1">_xlfn.XLOOKUP(__xlnm._FilterDatabase_1[[#This Row],[SAPSA Number]],Table1[SAPSA number],Table1[Gender])</f>
        <v>S</v>
      </c>
      <c r="H32" s="19">
        <f ca="1">_xlfn.XLOOKUP(__xlnm._FilterDatabase_1[[#This Row],[SAPSA Number]],Table1[SAPSA number],Table1[Age])</f>
        <v>55</v>
      </c>
      <c r="I32" s="19" t="s">
        <v>233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3"/>
        <v>13</v>
      </c>
      <c r="B33" s="25">
        <v>6308</v>
      </c>
      <c r="C33" s="25">
        <f>_xlfn.XLOOKUP(__xlnm._FilterDatabase_1[[#This Row],[SAPSA Number]],Table1[SAPSA number],Table1[Paid up])</f>
        <v>0</v>
      </c>
      <c r="D33" s="19" t="str">
        <f>_xlfn.XLOOKUP(__xlnm._FilterDatabase_1[[#This Row],[SAPSA Number]],Table1[SAPSA number],Table1[Name])</f>
        <v>James Matthew</v>
      </c>
      <c r="E33" s="39" t="str">
        <f>_xlfn.XLOOKUP(__xlnm._FilterDatabase_1[[#This Row],[SAPSA Number]],Table1[SAPSA number],Table1[Surname])</f>
        <v>Hagemann</v>
      </c>
      <c r="F33" s="28" t="str">
        <f>_xlfn.XLOOKUP(__xlnm._FilterDatabase_1[[#This Row],[SAPSA Number]],Table1[SAPSA number],Table1[Initials])</f>
        <v>JM</v>
      </c>
      <c r="G33" s="17" t="str">
        <f ca="1">_xlfn.XLOOKUP(__xlnm._FilterDatabase_1[[#This Row],[SAPSA Number]],Table1[SAPSA number],Table1[Gender])</f>
        <v>Jnr</v>
      </c>
      <c r="H33" s="19">
        <f ca="1">_xlfn.XLOOKUP(__xlnm._FilterDatabase_1[[#This Row],[SAPSA Number]],Table1[SAPSA number],Table1[Age])</f>
        <v>20</v>
      </c>
      <c r="I33" s="19" t="s">
        <v>233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3"/>
        <v>13</v>
      </c>
      <c r="B34" s="26">
        <v>7271</v>
      </c>
      <c r="C34" s="25" t="str">
        <f>_xlfn.XLOOKUP(__xlnm._FilterDatabase_1[[#This Row],[SAPSA Number]],Table1[SAPSA number],Table1[Paid up])</f>
        <v>Y</v>
      </c>
      <c r="D34" s="19" t="str">
        <f>_xlfn.XLOOKUP(__xlnm._FilterDatabase_1[[#This Row],[SAPSA Number]],Table1[SAPSA number],Table1[Name])</f>
        <v>Johan</v>
      </c>
      <c r="E34" s="39" t="str">
        <f>_xlfn.XLOOKUP(__xlnm._FilterDatabase_1[[#This Row],[SAPSA Number]],Table1[SAPSA number],Table1[Surname])</f>
        <v>Jacobs</v>
      </c>
      <c r="F34" s="28" t="str">
        <f>_xlfn.XLOOKUP(__xlnm._FilterDatabase_1[[#This Row],[SAPSA Number]],Table1[SAPSA number],Table1[Initials])</f>
        <v>J</v>
      </c>
      <c r="G34" s="17" t="str">
        <f ca="1">_xlfn.XLOOKUP(__xlnm._FilterDatabase_1[[#This Row],[SAPSA Number]],Table1[SAPSA number],Table1[Gender])</f>
        <v xml:space="preserve"> </v>
      </c>
      <c r="H34" s="19">
        <f ca="1">_xlfn.XLOOKUP(__xlnm._FilterDatabase_1[[#This Row],[SAPSA Number]],Table1[SAPSA number],Table1[Age])</f>
        <v>46</v>
      </c>
      <c r="I34" s="19" t="s">
        <v>233</v>
      </c>
      <c r="J34" s="21">
        <f t="shared" ref="J34:J70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3"/>
        <v>13</v>
      </c>
      <c r="B35" s="25">
        <v>2655</v>
      </c>
      <c r="C35" s="25" t="str">
        <f>_xlfn.XLOOKUP(__xlnm._FilterDatabase_1[[#This Row],[SAPSA Number]],Table1[SAPSA number],Table1[Paid up])</f>
        <v>Y</v>
      </c>
      <c r="D35" s="19" t="str">
        <f>_xlfn.XLOOKUP(__xlnm._FilterDatabase_1[[#This Row],[SAPSA Number]],Table1[SAPSA number],Table1[Name])</f>
        <v>Ruben</v>
      </c>
      <c r="E35" s="39" t="str">
        <f>_xlfn.XLOOKUP(__xlnm._FilterDatabase_1[[#This Row],[SAPSA Number]],Table1[SAPSA number],Table1[Surname])</f>
        <v>Joubert</v>
      </c>
      <c r="F35" s="28" t="str">
        <f>_xlfn.XLOOKUP(__xlnm._FilterDatabase_1[[#This Row],[SAPSA Number]],Table1[SAPSA number],Table1[Initials])</f>
        <v>R</v>
      </c>
      <c r="G35" s="17" t="str">
        <f ca="1">_xlfn.XLOOKUP(__xlnm._FilterDatabase_1[[#This Row],[SAPSA Number]],Table1[SAPSA number],Table1[Gender])</f>
        <v>Jnr</v>
      </c>
      <c r="H35" s="19">
        <f ca="1">_xlfn.XLOOKUP(__xlnm._FilterDatabase_1[[#This Row],[SAPSA Number]],Table1[SAPSA number],Table1[Age])</f>
        <v>18</v>
      </c>
      <c r="I35" s="19" t="s">
        <v>233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3"/>
        <v>13</v>
      </c>
      <c r="B36" s="18">
        <v>3339</v>
      </c>
      <c r="C36" s="25" t="str">
        <f>_xlfn.XLOOKUP(__xlnm._FilterDatabase_1[[#This Row],[SAPSA Number]],Table1[SAPSA number],Table1[Paid up])</f>
        <v>Y</v>
      </c>
      <c r="D36" s="19" t="str">
        <f>_xlfn.XLOOKUP(__xlnm._FilterDatabase_1[[#This Row],[SAPSA Number]],Table1[SAPSA number],Table1[Name])</f>
        <v>Hendrik Johannes</v>
      </c>
      <c r="E36" s="39" t="str">
        <f>_xlfn.XLOOKUP(__xlnm._FilterDatabase_1[[#This Row],[SAPSA Number]],Table1[SAPSA number],Table1[Surname])</f>
        <v>Joubert</v>
      </c>
      <c r="F36" s="28" t="str">
        <f>_xlfn.XLOOKUP(__xlnm._FilterDatabase_1[[#This Row],[SAPSA Number]],Table1[SAPSA number],Table1[Initials])</f>
        <v>HJ</v>
      </c>
      <c r="G36" s="17" t="str">
        <f ca="1">_xlfn.XLOOKUP(__xlnm._FilterDatabase_1[[#This Row],[SAPSA Number]],Table1[SAPSA number],Table1[Gender])</f>
        <v>S</v>
      </c>
      <c r="H36" s="19">
        <f ca="1">_xlfn.XLOOKUP(__xlnm._FilterDatabase_1[[#This Row],[SAPSA Number]],Table1[SAPSA number],Table1[Age])</f>
        <v>52</v>
      </c>
      <c r="I36" s="19" t="s">
        <v>233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13</v>
      </c>
      <c r="B37" s="18">
        <v>4094</v>
      </c>
      <c r="C37" s="25" t="str">
        <f>_xlfn.XLOOKUP(__xlnm._FilterDatabase_1[[#This Row],[SAPSA Number]],Table1[SAPSA number],Table1[Paid up])</f>
        <v>Y</v>
      </c>
      <c r="D37" s="19" t="str">
        <f>_xlfn.XLOOKUP(__xlnm._FilterDatabase_1[[#This Row],[SAPSA Number]],Table1[SAPSA number],Table1[Name])</f>
        <v>Johan</v>
      </c>
      <c r="E37" s="39" t="str">
        <f>_xlfn.XLOOKUP(__xlnm._FilterDatabase_1[[#This Row],[SAPSA Number]],Table1[SAPSA number],Table1[Surname])</f>
        <v>Kemp</v>
      </c>
      <c r="F37" s="28" t="str">
        <f>_xlfn.XLOOKUP(__xlnm._FilterDatabase_1[[#This Row],[SAPSA Number]],Table1[SAPSA number],Table1[Initials])</f>
        <v>J</v>
      </c>
      <c r="G37" s="17" t="str">
        <f ca="1">_xlfn.XLOOKUP(__xlnm._FilterDatabase_1[[#This Row],[SAPSA Number]],Table1[SAPSA number],Table1[Gender])</f>
        <v xml:space="preserve"> </v>
      </c>
      <c r="H37" s="19">
        <f ca="1">_xlfn.XLOOKUP(__xlnm._FilterDatabase_1[[#This Row],[SAPSA Number]],Table1[SAPSA number],Table1[Age])</f>
        <v>43</v>
      </c>
      <c r="I37" s="19" t="s">
        <v>233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13</v>
      </c>
      <c r="B38" s="40">
        <v>6968</v>
      </c>
      <c r="C38" s="25" t="str">
        <f>_xlfn.XLOOKUP(__xlnm._FilterDatabase_1[[#This Row],[SAPSA Number]],Table1[SAPSA number],Table1[Paid up])</f>
        <v>Y</v>
      </c>
      <c r="D38" s="19" t="str">
        <f>_xlfn.XLOOKUP(__xlnm._FilterDatabase_1[[#This Row],[SAPSA Number]],Table1[SAPSA number],Table1[Name])</f>
        <v>Ian John</v>
      </c>
      <c r="E38" s="39" t="str">
        <f>_xlfn.XLOOKUP(__xlnm._FilterDatabase_1[[#This Row],[SAPSA Number]],Table1[SAPSA number],Table1[Surname])</f>
        <v>Kewley</v>
      </c>
      <c r="F38" s="28" t="str">
        <f>_xlfn.XLOOKUP(__xlnm._FilterDatabase_1[[#This Row],[SAPSA Number]],Table1[SAPSA number],Table1[Initials])</f>
        <v>IJ</v>
      </c>
      <c r="G38" s="17" t="str">
        <f ca="1">_xlfn.XLOOKUP(__xlnm._FilterDatabase_1[[#This Row],[SAPSA Number]],Table1[SAPSA number],Table1[Gender])</f>
        <v xml:space="preserve"> </v>
      </c>
      <c r="H38" s="19">
        <f ca="1">_xlfn.XLOOKUP(__xlnm._FilterDatabase_1[[#This Row],[SAPSA Number]],Table1[SAPSA number],Table1[Age])</f>
        <v>45</v>
      </c>
      <c r="I38" s="19" t="s">
        <v>233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13</v>
      </c>
      <c r="B39" s="25">
        <v>7260</v>
      </c>
      <c r="C39" s="25">
        <f>_xlfn.XLOOKUP(__xlnm._FilterDatabase_1[[#This Row],[SAPSA Number]],Table1[SAPSA number],Table1[Paid up])</f>
        <v>0</v>
      </c>
      <c r="D39" s="19" t="str">
        <f>_xlfn.XLOOKUP(__xlnm._FilterDatabase_1[[#This Row],[SAPSA Number]],Table1[SAPSA number],Table1[Name])</f>
        <v>Glenn</v>
      </c>
      <c r="E39" s="39" t="str">
        <f>_xlfn.XLOOKUP(__xlnm._FilterDatabase_1[[#This Row],[SAPSA Number]],Table1[SAPSA number],Table1[Surname])</f>
        <v>Kieser</v>
      </c>
      <c r="F39" s="28" t="str">
        <f>_xlfn.XLOOKUP(__xlnm._FilterDatabase_1[[#This Row],[SAPSA Number]],Table1[SAPSA number],Table1[Initials])</f>
        <v>G</v>
      </c>
      <c r="G39" s="17" t="str">
        <f ca="1">_xlfn.XLOOKUP(__xlnm._FilterDatabase_1[[#This Row],[SAPSA Number]],Table1[SAPSA number],Table1[Gender])</f>
        <v>SS</v>
      </c>
      <c r="H39" s="19">
        <f ca="1">_xlfn.XLOOKUP(__xlnm._FilterDatabase_1[[#This Row],[SAPSA Number]],Table1[SAPSA number],Table1[Age])</f>
        <v>60</v>
      </c>
      <c r="I39" s="19" t="s">
        <v>233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13</v>
      </c>
      <c r="B40" s="27">
        <v>2651</v>
      </c>
      <c r="C40" s="25" t="str">
        <f>_xlfn.XLOOKUP(__xlnm._FilterDatabase_1[[#This Row],[SAPSA Number]],Table1[SAPSA number],Table1[Paid up])</f>
        <v>Y</v>
      </c>
      <c r="D40" s="19" t="str">
        <f>_xlfn.XLOOKUP(__xlnm._FilterDatabase_1[[#This Row],[SAPSA Number]],Table1[SAPSA number],Table1[Name])</f>
        <v>Paul Herman</v>
      </c>
      <c r="E40" s="39" t="str">
        <f>_xlfn.XLOOKUP(__xlnm._FilterDatabase_1[[#This Row],[SAPSA Number]],Table1[SAPSA number],Table1[Surname])</f>
        <v>Leuschner</v>
      </c>
      <c r="F40" s="28" t="str">
        <f>_xlfn.XLOOKUP(__xlnm._FilterDatabase_1[[#This Row],[SAPSA Number]],Table1[SAPSA number],Table1[Initials])</f>
        <v>PH</v>
      </c>
      <c r="G40" s="17" t="str">
        <f ca="1">_xlfn.XLOOKUP(__xlnm._FilterDatabase_1[[#This Row],[SAPSA Number]],Table1[SAPSA number],Table1[Gender])</f>
        <v>S</v>
      </c>
      <c r="H40" s="19">
        <f ca="1">_xlfn.XLOOKUP(__xlnm._FilterDatabase_1[[#This Row],[SAPSA Number]],Table1[SAPSA number],Table1[Age])</f>
        <v>51</v>
      </c>
      <c r="I40" s="19" t="s">
        <v>233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si="3"/>
        <v>13</v>
      </c>
      <c r="B41" s="26">
        <v>683</v>
      </c>
      <c r="C41" s="25">
        <f>_xlfn.XLOOKUP(__xlnm._FilterDatabase_1[[#This Row],[SAPSA Number]],Table1[SAPSA number],Table1[Paid up])</f>
        <v>0</v>
      </c>
      <c r="D41" s="19" t="str">
        <f>_xlfn.XLOOKUP(__xlnm._FilterDatabase_1[[#This Row],[SAPSA Number]],Table1[SAPSA number],Table1[Name])</f>
        <v>Ivor</v>
      </c>
      <c r="E41" s="39" t="str">
        <f>_xlfn.XLOOKUP(__xlnm._FilterDatabase_1[[#This Row],[SAPSA Number]],Table1[SAPSA number],Table1[Surname])</f>
        <v>Marais</v>
      </c>
      <c r="F41" s="28" t="str">
        <f>_xlfn.XLOOKUP(__xlnm._FilterDatabase_1[[#This Row],[SAPSA Number]],Table1[SAPSA number],Table1[Initials])</f>
        <v>I</v>
      </c>
      <c r="G41" s="17" t="str">
        <f ca="1">_xlfn.XLOOKUP(__xlnm._FilterDatabase_1[[#This Row],[SAPSA Number]],Table1[SAPSA number],Table1[Gender])</f>
        <v>S</v>
      </c>
      <c r="H41" s="19">
        <f ca="1">_xlfn.XLOOKUP(__xlnm._FilterDatabase_1[[#This Row],[SAPSA Number]],Table1[SAPSA number],Table1[Age])</f>
        <v>58</v>
      </c>
      <c r="I41" s="19" t="s">
        <v>233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 t="shared" si="3"/>
        <v>13</v>
      </c>
      <c r="B42" s="39">
        <v>4862</v>
      </c>
      <c r="C42" s="40" t="str">
        <f>_xlfn.XLOOKUP(__xlnm._FilterDatabase_1[[#This Row],[SAPSA Number]],Table1[SAPSA number],Table1[Paid up])</f>
        <v>Y</v>
      </c>
      <c r="D42" s="19" t="str">
        <f>_xlfn.XLOOKUP(__xlnm._FilterDatabase_1[[#This Row],[SAPSA Number]],Table1[SAPSA number],Table1[Name])</f>
        <v>George Keith</v>
      </c>
      <c r="E42" s="39" t="str">
        <f>_xlfn.XLOOKUP(__xlnm._FilterDatabase_1[[#This Row],[SAPSA Number]],Table1[SAPSA number],Table1[Surname])</f>
        <v>Marais</v>
      </c>
      <c r="F42" s="28" t="str">
        <f>_xlfn.XLOOKUP(__xlnm._FilterDatabase_1[[#This Row],[SAPSA Number]],Table1[SAPSA number],Table1[Initials])</f>
        <v>GK</v>
      </c>
      <c r="G42" s="17" t="str">
        <f ca="1">_xlfn.XLOOKUP(__xlnm._FilterDatabase_1[[#This Row],[SAPSA Number]],Table1[SAPSA number],Table1[Gender])</f>
        <v>S</v>
      </c>
      <c r="H42" s="19">
        <f ca="1">_xlfn.XLOOKUP(__xlnm._FilterDatabase_1[[#This Row],[SAPSA Number]],Table1[SAPSA number],Table1[Age])</f>
        <v>53</v>
      </c>
      <c r="I42" s="19" t="s">
        <v>233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3"/>
        <v>13</v>
      </c>
      <c r="B43" s="25">
        <v>6966</v>
      </c>
      <c r="C43" s="25" t="str">
        <f>_xlfn.XLOOKUP(__xlnm._FilterDatabase_1[[#This Row],[SAPSA Number]],Table1[SAPSA number],Table1[Paid up])</f>
        <v>Y</v>
      </c>
      <c r="D43" s="19" t="str">
        <f>_xlfn.XLOOKUP(__xlnm._FilterDatabase_1[[#This Row],[SAPSA Number]],Table1[SAPSA number],Table1[Name])</f>
        <v>James</v>
      </c>
      <c r="E43" s="39" t="str">
        <f>_xlfn.XLOOKUP(__xlnm._FilterDatabase_1[[#This Row],[SAPSA Number]],Table1[SAPSA number],Table1[Surname])</f>
        <v>Masonganye</v>
      </c>
      <c r="F43" s="28" t="str">
        <f>_xlfn.XLOOKUP(__xlnm._FilterDatabase_1[[#This Row],[SAPSA Number]],Table1[SAPSA number],Table1[Initials])</f>
        <v>J</v>
      </c>
      <c r="G43" s="17" t="str">
        <f ca="1">_xlfn.XLOOKUP(__xlnm._FilterDatabase_1[[#This Row],[SAPSA Number]],Table1[SAPSA number],Table1[Gender])</f>
        <v>S</v>
      </c>
      <c r="H43" s="19">
        <f ca="1">_xlfn.XLOOKUP(__xlnm._FilterDatabase_1[[#This Row],[SAPSA Number]],Table1[SAPSA number],Table1[Age])</f>
        <v>51</v>
      </c>
      <c r="I43" s="19" t="s">
        <v>233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3"/>
        <v>13</v>
      </c>
      <c r="B44" s="18">
        <v>7132</v>
      </c>
      <c r="C44" s="25" t="str">
        <f>_xlfn.XLOOKUP(__xlnm._FilterDatabase_1[[#This Row],[SAPSA Number]],Table1[SAPSA number],Table1[Paid up])</f>
        <v>Y</v>
      </c>
      <c r="D44" s="19" t="str">
        <f>_xlfn.XLOOKUP(__xlnm._FilterDatabase_1[[#This Row],[SAPSA Number]],Table1[SAPSA number],Table1[Name])</f>
        <v>Yussuf</v>
      </c>
      <c r="E44" s="39" t="str">
        <f>_xlfn.XLOOKUP(__xlnm._FilterDatabase_1[[#This Row],[SAPSA Number]],Table1[SAPSA number],Table1[Surname])</f>
        <v>Mayet</v>
      </c>
      <c r="F44" s="28" t="str">
        <f>_xlfn.XLOOKUP(__xlnm._FilterDatabase_1[[#This Row],[SAPSA Number]],Table1[SAPSA number],Table1[Initials])</f>
        <v>Y</v>
      </c>
      <c r="G44" s="17" t="str">
        <f ca="1">_xlfn.XLOOKUP(__xlnm._FilterDatabase_1[[#This Row],[SAPSA Number]],Table1[SAPSA number],Table1[Gender])</f>
        <v>GS</v>
      </c>
      <c r="H44" s="19">
        <f ca="1">_xlfn.XLOOKUP(__xlnm._FilterDatabase_1[[#This Row],[SAPSA Number]],Table1[SAPSA number],Table1[Age])</f>
        <v>71</v>
      </c>
      <c r="I44" s="19" t="s">
        <v>233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3"/>
        <v>13</v>
      </c>
      <c r="B45" s="39">
        <v>5200</v>
      </c>
      <c r="C45" s="25">
        <f>_xlfn.XLOOKUP(__xlnm._FilterDatabase_1[[#This Row],[SAPSA Number]],Table1[SAPSA number],Table1[Paid up])</f>
        <v>0</v>
      </c>
      <c r="D45" s="19" t="str">
        <f>_xlfn.XLOOKUP(__xlnm._FilterDatabase_1[[#This Row],[SAPSA Number]],Table1[SAPSA number],Table1[Name])</f>
        <v>Daniel</v>
      </c>
      <c r="E45" s="39" t="str">
        <f>_xlfn.XLOOKUP(__xlnm._FilterDatabase_1[[#This Row],[SAPSA Number]],Table1[SAPSA number],Table1[Surname])</f>
        <v>McWilliam</v>
      </c>
      <c r="F45" s="28" t="str">
        <f>_xlfn.XLOOKUP(__xlnm._FilterDatabase_1[[#This Row],[SAPSA Number]],Table1[SAPSA number],Table1[Initials])</f>
        <v>D</v>
      </c>
      <c r="G45" s="17" t="str">
        <f ca="1">_xlfn.XLOOKUP(__xlnm._FilterDatabase_1[[#This Row],[SAPSA Number]],Table1[SAPSA number],Table1[Gender])</f>
        <v xml:space="preserve"> </v>
      </c>
      <c r="H45" s="19">
        <f ca="1">_xlfn.XLOOKUP(__xlnm._FilterDatabase_1[[#This Row],[SAPSA Number]],Table1[SAPSA number],Table1[Age])</f>
        <v>38</v>
      </c>
      <c r="I45" s="19" t="s">
        <v>233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3"/>
        <v>13</v>
      </c>
      <c r="B46" s="25">
        <v>1637</v>
      </c>
      <c r="C46" s="25">
        <f>_xlfn.XLOOKUP(__xlnm._FilterDatabase_1[[#This Row],[SAPSA Number]],Table1[SAPSA number],Table1[Paid up])</f>
        <v>0</v>
      </c>
      <c r="D46" s="19" t="str">
        <f>_xlfn.XLOOKUP(__xlnm._FilterDatabase_1[[#This Row],[SAPSA Number]],Table1[SAPSA number],Table1[Name])</f>
        <v>Andre Johann Pieter</v>
      </c>
      <c r="E46" s="39" t="str">
        <f>_xlfn.XLOOKUP(__xlnm._FilterDatabase_1[[#This Row],[SAPSA Number]],Table1[SAPSA number],Table1[Surname])</f>
        <v>Mouton</v>
      </c>
      <c r="F46" s="28" t="str">
        <f>_xlfn.XLOOKUP(__xlnm._FilterDatabase_1[[#This Row],[SAPSA Number]],Table1[SAPSA number],Table1[Initials])</f>
        <v>AJP</v>
      </c>
      <c r="G46" s="17" t="str">
        <f ca="1">_xlfn.XLOOKUP(__xlnm._FilterDatabase_1[[#This Row],[SAPSA Number]],Table1[SAPSA number],Table1[Gender])</f>
        <v>GS</v>
      </c>
      <c r="H46" s="19">
        <f ca="1">_xlfn.XLOOKUP(__xlnm._FilterDatabase_1[[#This Row],[SAPSA Number]],Table1[SAPSA number],Table1[Age])</f>
        <v>70</v>
      </c>
      <c r="I46" s="19" t="s">
        <v>233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3"/>
        <v>13</v>
      </c>
      <c r="B47" s="18">
        <v>5804</v>
      </c>
      <c r="C47" s="25" t="str">
        <f>_xlfn.XLOOKUP(__xlnm._FilterDatabase_1[[#This Row],[SAPSA Number]],Table1[SAPSA number],Table1[Paid up])</f>
        <v>Y</v>
      </c>
      <c r="D47" s="19" t="str">
        <f>_xlfn.XLOOKUP(__xlnm._FilterDatabase_1[[#This Row],[SAPSA Number]],Table1[SAPSA number],Table1[Name])</f>
        <v>Louis Johannes</v>
      </c>
      <c r="E47" s="39" t="str">
        <f>_xlfn.XLOOKUP(__xlnm._FilterDatabase_1[[#This Row],[SAPSA Number]],Table1[SAPSA number],Table1[Surname])</f>
        <v>Nel</v>
      </c>
      <c r="F47" s="28" t="str">
        <f>_xlfn.XLOOKUP(__xlnm._FilterDatabase_1[[#This Row],[SAPSA Number]],Table1[SAPSA number],Table1[Initials])</f>
        <v>LJ</v>
      </c>
      <c r="G47" s="17" t="str">
        <f ca="1">_xlfn.XLOOKUP(__xlnm._FilterDatabase_1[[#This Row],[SAPSA Number]],Table1[SAPSA number],Table1[Gender])</f>
        <v xml:space="preserve"> </v>
      </c>
      <c r="H47" s="19">
        <f ca="1">_xlfn.XLOOKUP(__xlnm._FilterDatabase_1[[#This Row],[SAPSA Number]],Table1[SAPSA number],Table1[Age])</f>
        <v>47</v>
      </c>
      <c r="I47" s="19" t="s">
        <v>233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25" customHeight="1" x14ac:dyDescent="0.3">
      <c r="A48" s="17">
        <f t="shared" si="3"/>
        <v>13</v>
      </c>
      <c r="B48" s="25">
        <v>7478</v>
      </c>
      <c r="C48" s="25">
        <f>_xlfn.XLOOKUP(__xlnm._FilterDatabase_1[[#This Row],[SAPSA Number]],Table1[SAPSA number],Table1[Paid up])</f>
        <v>0</v>
      </c>
      <c r="D48" s="19" t="str">
        <f>_xlfn.XLOOKUP(__xlnm._FilterDatabase_1[[#This Row],[SAPSA Number]],Table1[SAPSA number],Table1[Name])</f>
        <v>Annemarie</v>
      </c>
      <c r="E48" s="39" t="str">
        <f>_xlfn.XLOOKUP(__xlnm._FilterDatabase_1[[#This Row],[SAPSA Number]],Table1[SAPSA number],Table1[Surname])</f>
        <v>Pienaar</v>
      </c>
      <c r="F48" s="28" t="str">
        <f>_xlfn.XLOOKUP(__xlnm._FilterDatabase_1[[#This Row],[SAPSA Number]],Table1[SAPSA number],Table1[Initials])</f>
        <v>A</v>
      </c>
      <c r="G48" s="17" t="str">
        <f>_xlfn.XLOOKUP(__xlnm._FilterDatabase_1[[#This Row],[SAPSA Number]],Table1[SAPSA number],Table1[Gender])</f>
        <v>Lady</v>
      </c>
      <c r="H48" s="19">
        <f ca="1">_xlfn.XLOOKUP(__xlnm._FilterDatabase_1[[#This Row],[SAPSA Number]],Table1[SAPSA number],Table1[Age])</f>
        <v>35</v>
      </c>
      <c r="I48" s="19" t="s">
        <v>233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3"/>
        <v>13</v>
      </c>
      <c r="B49" s="25">
        <v>2950</v>
      </c>
      <c r="C49" s="25">
        <f>_xlfn.XLOOKUP(__xlnm._FilterDatabase_1[[#This Row],[SAPSA Number]],Table1[SAPSA number],Table1[Paid up])</f>
        <v>0</v>
      </c>
      <c r="D49" s="19" t="str">
        <f>_xlfn.XLOOKUP(__xlnm._FilterDatabase_1[[#This Row],[SAPSA Number]],Table1[SAPSA number],Table1[Name])</f>
        <v>Renier Jansen</v>
      </c>
      <c r="E49" s="39" t="str">
        <f>_xlfn.XLOOKUP(__xlnm._FilterDatabase_1[[#This Row],[SAPSA Number]],Table1[SAPSA number],Table1[Surname])</f>
        <v>Reynders</v>
      </c>
      <c r="F49" s="28" t="str">
        <f>_xlfn.XLOOKUP(__xlnm._FilterDatabase_1[[#This Row],[SAPSA Number]],Table1[SAPSA number],Table1[Initials])</f>
        <v>RJ</v>
      </c>
      <c r="G49" s="17" t="str">
        <f ca="1">_xlfn.XLOOKUP(__xlnm._FilterDatabase_1[[#This Row],[SAPSA Number]],Table1[SAPSA number],Table1[Gender])</f>
        <v xml:space="preserve"> </v>
      </c>
      <c r="H49" s="19">
        <f ca="1">_xlfn.XLOOKUP(__xlnm._FilterDatabase_1[[#This Row],[SAPSA Number]],Table1[SAPSA number],Table1[Age])</f>
        <v>46</v>
      </c>
      <c r="I49" s="19" t="s">
        <v>233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ref="A50:A70" si="6">RANK(K50,K$2:K$144,0)</f>
        <v>13</v>
      </c>
      <c r="B50" s="25">
        <v>1929</v>
      </c>
      <c r="C50" s="25">
        <f>_xlfn.XLOOKUP(__xlnm._FilterDatabase_1[[#This Row],[SAPSA Number]],Table1[SAPSA number],Table1[Paid up])</f>
        <v>0</v>
      </c>
      <c r="D50" s="19" t="str">
        <f>_xlfn.XLOOKUP(__xlnm._FilterDatabase_1[[#This Row],[SAPSA Number]],Table1[SAPSA number],Table1[Name])</f>
        <v>Chris</v>
      </c>
      <c r="E50" s="39" t="str">
        <f>_xlfn.XLOOKUP(__xlnm._FilterDatabase_1[[#This Row],[SAPSA Number]],Table1[SAPSA number],Table1[Surname])</f>
        <v>Ridout</v>
      </c>
      <c r="F50" s="28" t="str">
        <f>_xlfn.XLOOKUP(__xlnm._FilterDatabase_1[[#This Row],[SAPSA Number]],Table1[SAPSA number],Table1[Initials])</f>
        <v>CJ</v>
      </c>
      <c r="G50" s="17" t="str">
        <f ca="1">_xlfn.XLOOKUP(__xlnm._FilterDatabase_1[[#This Row],[SAPSA Number]],Table1[SAPSA number],Table1[Gender])</f>
        <v xml:space="preserve"> </v>
      </c>
      <c r="H50" s="19">
        <f ca="1">_xlfn.XLOOKUP(__xlnm._FilterDatabase_1[[#This Row],[SAPSA Number]],Table1[SAPSA number],Table1[Age])</f>
        <v>44</v>
      </c>
      <c r="I50" s="19" t="s">
        <v>233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6"/>
        <v>13</v>
      </c>
      <c r="B51" s="25">
        <v>3822</v>
      </c>
      <c r="C51" s="25" t="str">
        <f>_xlfn.XLOOKUP(__xlnm._FilterDatabase_1[[#This Row],[SAPSA Number]],Table1[SAPSA number],Table1[Paid up])</f>
        <v>Y</v>
      </c>
      <c r="D51" s="19" t="str">
        <f>_xlfn.XLOOKUP(__xlnm._FilterDatabase_1[[#This Row],[SAPSA Number]],Table1[SAPSA number],Table1[Name])</f>
        <v>Wayne Erald</v>
      </c>
      <c r="E51" s="39" t="str">
        <f>_xlfn.XLOOKUP(__xlnm._FilterDatabase_1[[#This Row],[SAPSA Number]],Table1[SAPSA number],Table1[Surname])</f>
        <v>Schmidt</v>
      </c>
      <c r="F51" s="28" t="str">
        <f>_xlfn.XLOOKUP(__xlnm._FilterDatabase_1[[#This Row],[SAPSA Number]],Table1[SAPSA number],Table1[Initials])</f>
        <v>WE</v>
      </c>
      <c r="G51" s="17" t="str">
        <f ca="1">_xlfn.XLOOKUP(__xlnm._FilterDatabase_1[[#This Row],[SAPSA Number]],Table1[SAPSA number],Table1[Gender])</f>
        <v>S</v>
      </c>
      <c r="H51" s="19">
        <f ca="1">_xlfn.XLOOKUP(__xlnm._FilterDatabase_1[[#This Row],[SAPSA Number]],Table1[SAPSA number],Table1[Age])</f>
        <v>52</v>
      </c>
      <c r="I51" s="19" t="s">
        <v>233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6"/>
        <v>13</v>
      </c>
      <c r="B52" s="25">
        <v>4966</v>
      </c>
      <c r="C52" s="25" t="str">
        <f>_xlfn.XLOOKUP(__xlnm._FilterDatabase_1[[#This Row],[SAPSA Number]],Table1[SAPSA number],Table1[Paid up])</f>
        <v>Y</v>
      </c>
      <c r="D52" s="19" t="str">
        <f>_xlfn.XLOOKUP(__xlnm._FilterDatabase_1[[#This Row],[SAPSA Number]],Table1[SAPSA number],Table1[Name])</f>
        <v>Costantinos</v>
      </c>
      <c r="E52" s="39" t="str">
        <f>_xlfn.XLOOKUP(__xlnm._FilterDatabase_1[[#This Row],[SAPSA Number]],Table1[SAPSA number],Table1[Surname])</f>
        <v>Seindis</v>
      </c>
      <c r="F52" s="28" t="str">
        <f>_xlfn.XLOOKUP(__xlnm._FilterDatabase_1[[#This Row],[SAPSA Number]],Table1[SAPSA number],Table1[Initials])</f>
        <v>C</v>
      </c>
      <c r="G52" s="17" t="str">
        <f ca="1">_xlfn.XLOOKUP(__xlnm._FilterDatabase_1[[#This Row],[SAPSA Number]],Table1[SAPSA number],Table1[Gender])</f>
        <v xml:space="preserve"> </v>
      </c>
      <c r="H52" s="19">
        <f ca="1">_xlfn.XLOOKUP(__xlnm._FilterDatabase_1[[#This Row],[SAPSA Number]],Table1[SAPSA number],Table1[Age])</f>
        <v>36</v>
      </c>
      <c r="I52" s="19" t="s">
        <v>233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6"/>
        <v>13</v>
      </c>
      <c r="B53" s="25">
        <v>1321</v>
      </c>
      <c r="C53" s="25">
        <f>_xlfn.XLOOKUP(__xlnm._FilterDatabase_1[[#This Row],[SAPSA Number]],Table1[SAPSA number],Table1[Paid up])</f>
        <v>0</v>
      </c>
      <c r="D53" s="19" t="str">
        <f>_xlfn.XLOOKUP(__xlnm._FilterDatabase_1[[#This Row],[SAPSA Number]],Table1[SAPSA number],Table1[Name])</f>
        <v>Neal Monisen</v>
      </c>
      <c r="E53" s="39" t="str">
        <f>_xlfn.XLOOKUP(__xlnm._FilterDatabase_1[[#This Row],[SAPSA Number]],Table1[SAPSA number],Table1[Surname])</f>
        <v>Sokay</v>
      </c>
      <c r="F53" s="28" t="str">
        <f>_xlfn.XLOOKUP(__xlnm._FilterDatabase_1[[#This Row],[SAPSA Number]],Table1[SAPSA number],Table1[Initials])</f>
        <v>NM</v>
      </c>
      <c r="G53" s="17" t="str">
        <f ca="1">_xlfn.XLOOKUP(__xlnm._FilterDatabase_1[[#This Row],[SAPSA Number]],Table1[SAPSA number],Table1[Gender])</f>
        <v>S</v>
      </c>
      <c r="H53" s="19">
        <f ca="1">_xlfn.XLOOKUP(__xlnm._FilterDatabase_1[[#This Row],[SAPSA Number]],Table1[SAPSA number],Table1[Age])</f>
        <v>52</v>
      </c>
      <c r="I53" s="19" t="s">
        <v>233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6"/>
        <v>13</v>
      </c>
      <c r="B54" s="25">
        <v>3832</v>
      </c>
      <c r="C54" s="25" t="str">
        <f>_xlfn.XLOOKUP(__xlnm._FilterDatabase_1[[#This Row],[SAPSA Number]],Table1[SAPSA number],Table1[Paid up])</f>
        <v>Y</v>
      </c>
      <c r="D54" s="19" t="str">
        <f>_xlfn.XLOOKUP(__xlnm._FilterDatabase_1[[#This Row],[SAPSA Number]],Table1[SAPSA number],Table1[Name])</f>
        <v>Dion Rowlands</v>
      </c>
      <c r="E54" s="39" t="str">
        <f>_xlfn.XLOOKUP(__xlnm._FilterDatabase_1[[#This Row],[SAPSA Number]],Table1[SAPSA number],Table1[Surname])</f>
        <v>Stead</v>
      </c>
      <c r="F54" s="28" t="str">
        <f>_xlfn.XLOOKUP(__xlnm._FilterDatabase_1[[#This Row],[SAPSA Number]],Table1[SAPSA number],Table1[Initials])</f>
        <v>DR</v>
      </c>
      <c r="G54" s="17" t="str">
        <f ca="1">_xlfn.XLOOKUP(__xlnm._FilterDatabase_1[[#This Row],[SAPSA Number]],Table1[SAPSA number],Table1[Gender])</f>
        <v>S</v>
      </c>
      <c r="H54" s="19">
        <f ca="1">_xlfn.XLOOKUP(__xlnm._FilterDatabase_1[[#This Row],[SAPSA Number]],Table1[SAPSA number],Table1[Age])</f>
        <v>53</v>
      </c>
      <c r="I54" s="19" t="s">
        <v>233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6"/>
        <v>13</v>
      </c>
      <c r="B55" s="25">
        <v>4858</v>
      </c>
      <c r="C55" s="25" t="str">
        <f>_xlfn.XLOOKUP(__xlnm._FilterDatabase_1[[#This Row],[SAPSA Number]],Table1[SAPSA number],Table1[Paid up])</f>
        <v>Y</v>
      </c>
      <c r="D55" s="19" t="str">
        <f>_xlfn.XLOOKUP(__xlnm._FilterDatabase_1[[#This Row],[SAPSA Number]],Table1[SAPSA number],Table1[Name])</f>
        <v>Jacques</v>
      </c>
      <c r="E55" s="39" t="str">
        <f>_xlfn.XLOOKUP(__xlnm._FilterDatabase_1[[#This Row],[SAPSA Number]],Table1[SAPSA number],Table1[Surname])</f>
        <v>Swanepoel</v>
      </c>
      <c r="F55" s="28" t="str">
        <f>_xlfn.XLOOKUP(__xlnm._FilterDatabase_1[[#This Row],[SAPSA Number]],Table1[SAPSA number],Table1[Initials])</f>
        <v>J</v>
      </c>
      <c r="G55" s="17" t="str">
        <f ca="1">_xlfn.XLOOKUP(__xlnm._FilterDatabase_1[[#This Row],[SAPSA Number]],Table1[SAPSA number],Table1[Gender])</f>
        <v xml:space="preserve"> </v>
      </c>
      <c r="H55" s="19">
        <f ca="1">_xlfn.XLOOKUP(__xlnm._FilterDatabase_1[[#This Row],[SAPSA Number]],Table1[SAPSA number],Table1[Age])</f>
        <v>31</v>
      </c>
      <c r="I55" s="19" t="s">
        <v>233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6"/>
        <v>13</v>
      </c>
      <c r="B56" s="25">
        <v>1113</v>
      </c>
      <c r="C56" s="25" t="str">
        <f>_xlfn.XLOOKUP(__xlnm._FilterDatabase_1[[#This Row],[SAPSA Number]],Table1[SAPSA number],Table1[Paid up])</f>
        <v>Y</v>
      </c>
      <c r="D56" s="19" t="str">
        <f>_xlfn.XLOOKUP(__xlnm._FilterDatabase_1[[#This Row],[SAPSA Number]],Table1[SAPSA number],Table1[Name])</f>
        <v>Frik</v>
      </c>
      <c r="E56" s="39" t="str">
        <f>_xlfn.XLOOKUP(__xlnm._FilterDatabase_1[[#This Row],[SAPSA Number]],Table1[SAPSA number],Table1[Surname])</f>
        <v>Truter</v>
      </c>
      <c r="F56" s="28" t="str">
        <f>_xlfn.XLOOKUP(__xlnm._FilterDatabase_1[[#This Row],[SAPSA Number]],Table1[SAPSA number],Table1[Initials])</f>
        <v>FC</v>
      </c>
      <c r="G56" s="17" t="str">
        <f ca="1">_xlfn.XLOOKUP(__xlnm._FilterDatabase_1[[#This Row],[SAPSA Number]],Table1[SAPSA number],Table1[Gender])</f>
        <v>SS</v>
      </c>
      <c r="H56" s="19">
        <f ca="1">_xlfn.XLOOKUP(__xlnm._FilterDatabase_1[[#This Row],[SAPSA Number]],Table1[SAPSA number],Table1[Age])</f>
        <v>61</v>
      </c>
      <c r="I56" s="19" t="s">
        <v>233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6"/>
        <v>13</v>
      </c>
      <c r="B57" s="25">
        <v>4672</v>
      </c>
      <c r="C57" s="25" t="str">
        <f>_xlfn.XLOOKUP(__xlnm._FilterDatabase_1[[#This Row],[SAPSA Number]],Table1[SAPSA number],Table1[Paid up])</f>
        <v>Y</v>
      </c>
      <c r="D57" s="19" t="str">
        <f>_xlfn.XLOOKUP(__xlnm._FilterDatabase_1[[#This Row],[SAPSA Number]],Table1[SAPSA number],Table1[Name])</f>
        <v>Frederick John</v>
      </c>
      <c r="E57" s="39" t="str">
        <f>_xlfn.XLOOKUP(__xlnm._FilterDatabase_1[[#This Row],[SAPSA Number]],Table1[SAPSA number],Table1[Surname])</f>
        <v>Turnbull</v>
      </c>
      <c r="F57" s="28" t="str">
        <f>_xlfn.XLOOKUP(__xlnm._FilterDatabase_1[[#This Row],[SAPSA Number]],Table1[SAPSA number],Table1[Initials])</f>
        <v>FJ</v>
      </c>
      <c r="G57" s="17" t="str">
        <f ca="1">_xlfn.XLOOKUP(__xlnm._FilterDatabase_1[[#This Row],[SAPSA Number]],Table1[SAPSA number],Table1[Gender])</f>
        <v>SS</v>
      </c>
      <c r="H57" s="19">
        <f ca="1">_xlfn.XLOOKUP(__xlnm._FilterDatabase_1[[#This Row],[SAPSA Number]],Table1[SAPSA number],Table1[Age])</f>
        <v>60</v>
      </c>
      <c r="I57" s="19" t="s">
        <v>233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6"/>
        <v>13</v>
      </c>
      <c r="B58" s="25">
        <v>1931</v>
      </c>
      <c r="C58" s="25">
        <f>_xlfn.XLOOKUP(__xlnm._FilterDatabase_1[[#This Row],[SAPSA Number]],Table1[SAPSA number],Table1[Paid up])</f>
        <v>0</v>
      </c>
      <c r="D58" s="19" t="str">
        <f>_xlfn.XLOOKUP(__xlnm._FilterDatabase_1[[#This Row],[SAPSA Number]],Table1[SAPSA number],Table1[Name])</f>
        <v>Sylvia</v>
      </c>
      <c r="E58" s="39" t="str">
        <f>_xlfn.XLOOKUP(__xlnm._FilterDatabase_1[[#This Row],[SAPSA Number]],Table1[SAPSA number],Table1[Surname])</f>
        <v>Van der Neut</v>
      </c>
      <c r="F58" s="28" t="str">
        <f>_xlfn.XLOOKUP(__xlnm._FilterDatabase_1[[#This Row],[SAPSA Number]],Table1[SAPSA number],Table1[Initials])</f>
        <v>S</v>
      </c>
      <c r="G58" s="17" t="str">
        <f>_xlfn.XLOOKUP(__xlnm._FilterDatabase_1[[#This Row],[SAPSA Number]],Table1[SAPSA number],Table1[Gender])</f>
        <v>Lady</v>
      </c>
      <c r="H58" s="19">
        <f ca="1">_xlfn.XLOOKUP(__xlnm._FilterDatabase_1[[#This Row],[SAPSA Number]],Table1[SAPSA number],Table1[Age])</f>
        <v>56</v>
      </c>
      <c r="I58" s="19" t="s">
        <v>233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6"/>
        <v>13</v>
      </c>
      <c r="B59" s="25">
        <v>5616</v>
      </c>
      <c r="C59" s="25">
        <f>_xlfn.XLOOKUP(__xlnm._FilterDatabase_1[[#This Row],[SAPSA Number]],Table1[SAPSA number],Table1[Paid up])</f>
        <v>0</v>
      </c>
      <c r="D59" s="19" t="str">
        <f>_xlfn.XLOOKUP(__xlnm._FilterDatabase_1[[#This Row],[SAPSA Number]],Table1[SAPSA number],Table1[Name])</f>
        <v>Cornelis Herman</v>
      </c>
      <c r="E59" s="39" t="str">
        <f>_xlfn.XLOOKUP(__xlnm._FilterDatabase_1[[#This Row],[SAPSA Number]],Table1[SAPSA number],Table1[Surname])</f>
        <v>van Driel</v>
      </c>
      <c r="F59" s="28" t="str">
        <f>_xlfn.XLOOKUP(__xlnm._FilterDatabase_1[[#This Row],[SAPSA Number]],Table1[SAPSA number],Table1[Initials])</f>
        <v>CH</v>
      </c>
      <c r="G59" s="17" t="str">
        <f ca="1">_xlfn.XLOOKUP(__xlnm._FilterDatabase_1[[#This Row],[SAPSA Number]],Table1[SAPSA number],Table1[Gender])</f>
        <v xml:space="preserve"> </v>
      </c>
      <c r="H59" s="19">
        <f ca="1">_xlfn.XLOOKUP(__xlnm._FilterDatabase_1[[#This Row],[SAPSA Number]],Table1[SAPSA number],Table1[Age])</f>
        <v>38</v>
      </c>
      <c r="I59" s="19" t="s">
        <v>233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6"/>
        <v>13</v>
      </c>
      <c r="B60" s="40">
        <v>6564</v>
      </c>
      <c r="C60" s="25" t="str">
        <f>_xlfn.XLOOKUP(__xlnm._FilterDatabase_1[[#This Row],[SAPSA Number]],Table1[SAPSA number],Table1[Paid up])</f>
        <v>Y</v>
      </c>
      <c r="D60" s="19" t="str">
        <f>_xlfn.XLOOKUP(__xlnm._FilterDatabase_1[[#This Row],[SAPSA Number]],Table1[SAPSA number],Table1[Name])</f>
        <v>Kwimton Schalk</v>
      </c>
      <c r="E60" s="39" t="str">
        <f>_xlfn.XLOOKUP(__xlnm._FilterDatabase_1[[#This Row],[SAPSA Number]],Table1[SAPSA number],Table1[Surname])</f>
        <v>van Jaarsveld</v>
      </c>
      <c r="F60" s="28" t="str">
        <f>_xlfn.XLOOKUP(__xlnm._FilterDatabase_1[[#This Row],[SAPSA Number]],Table1[SAPSA number],Table1[Initials])</f>
        <v>KS</v>
      </c>
      <c r="G60" s="17" t="str">
        <f ca="1">_xlfn.XLOOKUP(__xlnm._FilterDatabase_1[[#This Row],[SAPSA Number]],Table1[SAPSA number],Table1[Gender])</f>
        <v xml:space="preserve"> </v>
      </c>
      <c r="H60" s="19">
        <f ca="1">_xlfn.XLOOKUP(__xlnm._FilterDatabase_1[[#This Row],[SAPSA Number]],Table1[SAPSA number],Table1[Age])</f>
        <v>41</v>
      </c>
      <c r="I60" s="19" t="s">
        <v>233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6"/>
        <v>13</v>
      </c>
      <c r="B61" s="26">
        <v>5262</v>
      </c>
      <c r="C61" s="25" t="str">
        <f>_xlfn.XLOOKUP(__xlnm._FilterDatabase_1[[#This Row],[SAPSA Number]],Table1[SAPSA number],Table1[Paid up])</f>
        <v>Y</v>
      </c>
      <c r="D61" s="19" t="str">
        <f>_xlfn.XLOOKUP(__xlnm._FilterDatabase_1[[#This Row],[SAPSA Number]],Table1[SAPSA number],Table1[Name])</f>
        <v>Andre</v>
      </c>
      <c r="E61" s="39" t="str">
        <f>_xlfn.XLOOKUP(__xlnm._FilterDatabase_1[[#This Row],[SAPSA Number]],Table1[SAPSA number],Table1[Surname])</f>
        <v>van Rooyen</v>
      </c>
      <c r="F61" s="28" t="str">
        <f>_xlfn.XLOOKUP(__xlnm._FilterDatabase_1[[#This Row],[SAPSA Number]],Table1[SAPSA number],Table1[Initials])</f>
        <v>A</v>
      </c>
      <c r="G61" s="17" t="str">
        <f ca="1">_xlfn.XLOOKUP(__xlnm._FilterDatabase_1[[#This Row],[SAPSA Number]],Table1[SAPSA number],Table1[Gender])</f>
        <v xml:space="preserve"> </v>
      </c>
      <c r="H61" s="19">
        <f ca="1">_xlfn.XLOOKUP(__xlnm._FilterDatabase_1[[#This Row],[SAPSA Number]],Table1[SAPSA number],Table1[Age])</f>
        <v>48</v>
      </c>
      <c r="I61" s="19" t="s">
        <v>233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6"/>
        <v>13</v>
      </c>
      <c r="B62" s="26">
        <v>5971</v>
      </c>
      <c r="C62" s="25">
        <f>_xlfn.XLOOKUP(__xlnm._FilterDatabase_1[[#This Row],[SAPSA Number]],Table1[SAPSA number],Table1[Paid up])</f>
        <v>0</v>
      </c>
      <c r="D62" s="19" t="str">
        <f>_xlfn.XLOOKUP(__xlnm._FilterDatabase_1[[#This Row],[SAPSA Number]],Table1[SAPSA number],Table1[Name])</f>
        <v>Hendrik</v>
      </c>
      <c r="E62" s="39" t="str">
        <f>_xlfn.XLOOKUP(__xlnm._FilterDatabase_1[[#This Row],[SAPSA Number]],Table1[SAPSA number],Table1[Surname])</f>
        <v>van Rooyen</v>
      </c>
      <c r="F62" s="28" t="str">
        <f>_xlfn.XLOOKUP(__xlnm._FilterDatabase_1[[#This Row],[SAPSA Number]],Table1[SAPSA number],Table1[Initials])</f>
        <v>H</v>
      </c>
      <c r="G62" s="17" t="str">
        <f ca="1">_xlfn.XLOOKUP(__xlnm._FilterDatabase_1[[#This Row],[SAPSA Number]],Table1[SAPSA number],Table1[Gender])</f>
        <v>S</v>
      </c>
      <c r="H62" s="19">
        <f ca="1">_xlfn.XLOOKUP(__xlnm._FilterDatabase_1[[#This Row],[SAPSA Number]],Table1[SAPSA number],Table1[Age])</f>
        <v>51</v>
      </c>
      <c r="I62" s="19" t="s">
        <v>233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6"/>
        <v>13</v>
      </c>
      <c r="B63" s="26">
        <v>2089</v>
      </c>
      <c r="C63" s="25" t="str">
        <f>_xlfn.XLOOKUP(__xlnm._FilterDatabase_1[[#This Row],[SAPSA Number]],Table1[SAPSA number],Table1[Paid up])</f>
        <v>Y</v>
      </c>
      <c r="D63" s="19" t="str">
        <f>_xlfn.XLOOKUP(__xlnm._FilterDatabase_1[[#This Row],[SAPSA Number]],Table1[SAPSA number],Table1[Name])</f>
        <v>Doané</v>
      </c>
      <c r="E63" s="39" t="str">
        <f>_xlfn.XLOOKUP(__xlnm._FilterDatabase_1[[#This Row],[SAPSA Number]],Table1[SAPSA number],Table1[Surname])</f>
        <v>Vermooten</v>
      </c>
      <c r="F63" s="28" t="str">
        <f>_xlfn.XLOOKUP(__xlnm._FilterDatabase_1[[#This Row],[SAPSA Number]],Table1[SAPSA number],Table1[Initials])</f>
        <v>D</v>
      </c>
      <c r="G63" s="17" t="str">
        <f ca="1">_xlfn.XLOOKUP(__xlnm._FilterDatabase_1[[#This Row],[SAPSA Number]],Table1[SAPSA number],Table1[Gender])</f>
        <v xml:space="preserve"> </v>
      </c>
      <c r="H63" s="19">
        <f ca="1">_xlfn.XLOOKUP(__xlnm._FilterDatabase_1[[#This Row],[SAPSA Number]],Table1[SAPSA number],Table1[Age])</f>
        <v>42</v>
      </c>
      <c r="I63" s="19" t="s">
        <v>233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 t="shared" si="6"/>
        <v>13</v>
      </c>
      <c r="B64" s="27">
        <v>896</v>
      </c>
      <c r="C64" s="25" t="str">
        <f>_xlfn.XLOOKUP(__xlnm._FilterDatabase_1[[#This Row],[SAPSA Number]],Table1[SAPSA number],Table1[Paid up])</f>
        <v>Y</v>
      </c>
      <c r="D64" s="19" t="str">
        <f>_xlfn.XLOOKUP(__xlnm._FilterDatabase_1[[#This Row],[SAPSA Number]],Table1[SAPSA number],Table1[Name])</f>
        <v>Johannes Francois</v>
      </c>
      <c r="E64" s="39" t="str">
        <f>_xlfn.XLOOKUP(__xlnm._FilterDatabase_1[[#This Row],[SAPSA Number]],Table1[SAPSA number],Table1[Surname])</f>
        <v>Wheeler</v>
      </c>
      <c r="F64" s="28" t="str">
        <f>_xlfn.XLOOKUP(__xlnm._FilterDatabase_1[[#This Row],[SAPSA Number]],Table1[SAPSA number],Table1[Initials])</f>
        <v>JF</v>
      </c>
      <c r="G64" s="17" t="str">
        <f ca="1">_xlfn.XLOOKUP(__xlnm._FilterDatabase_1[[#This Row],[SAPSA Number]],Table1[SAPSA number],Table1[Gender])</f>
        <v xml:space="preserve"> </v>
      </c>
      <c r="H64" s="19">
        <f ca="1">_xlfn.XLOOKUP(__xlnm._FilterDatabase_1[[#This Row],[SAPSA Number]],Table1[SAPSA number],Table1[Age])</f>
        <v>46</v>
      </c>
      <c r="I64" s="19" t="s">
        <v>233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 t="shared" si="6"/>
        <v>13</v>
      </c>
      <c r="B65" s="26">
        <v>1716</v>
      </c>
      <c r="C65" s="25" t="str">
        <f>_xlfn.XLOOKUP(__xlnm._FilterDatabase_1[[#This Row],[SAPSA Number]],Table1[SAPSA number],Table1[Paid up])</f>
        <v>Y</v>
      </c>
      <c r="D65" s="19" t="str">
        <f>_xlfn.XLOOKUP(__xlnm._FilterDatabase_1[[#This Row],[SAPSA Number]],Table1[SAPSA number],Table1[Name])</f>
        <v>Albert</v>
      </c>
      <c r="E65" s="39" t="str">
        <f>_xlfn.XLOOKUP(__xlnm._FilterDatabase_1[[#This Row],[SAPSA Number]],Table1[SAPSA number],Table1[Surname])</f>
        <v>Wöcke</v>
      </c>
      <c r="F65" s="28" t="str">
        <f>_xlfn.XLOOKUP(__xlnm._FilterDatabase_1[[#This Row],[SAPSA Number]],Table1[SAPSA number],Table1[Initials])</f>
        <v>A</v>
      </c>
      <c r="G65" s="17" t="str">
        <f ca="1">_xlfn.XLOOKUP(__xlnm._FilterDatabase_1[[#This Row],[SAPSA Number]],Table1[SAPSA number],Table1[Gender])</f>
        <v>S</v>
      </c>
      <c r="H65" s="19">
        <f ca="1">_xlfn.XLOOKUP(__xlnm._FilterDatabase_1[[#This Row],[SAPSA Number]],Table1[SAPSA number],Table1[Age])</f>
        <v>58</v>
      </c>
      <c r="I65" s="19" t="s">
        <v>233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 t="shared" si="6"/>
        <v>13</v>
      </c>
      <c r="B66" s="26">
        <v>206</v>
      </c>
      <c r="C66" s="25">
        <f>_xlfn.XLOOKUP(__xlnm._FilterDatabase_1[[#This Row],[SAPSA Number]],Table1[SAPSA number],Table1[Paid up])</f>
        <v>0</v>
      </c>
      <c r="D66" s="19" t="str">
        <f>_xlfn.XLOOKUP(__xlnm._FilterDatabase_1[[#This Row],[SAPSA Number]],Table1[SAPSA number],Table1[Name])</f>
        <v>Pierre Dewald</v>
      </c>
      <c r="E66" s="39" t="str">
        <f>_xlfn.XLOOKUP(__xlnm._FilterDatabase_1[[#This Row],[SAPSA Number]],Table1[SAPSA number],Table1[Surname])</f>
        <v>Wrogemann</v>
      </c>
      <c r="F66" s="28" t="str">
        <f>_xlfn.XLOOKUP(__xlnm._FilterDatabase_1[[#This Row],[SAPSA Number]],Table1[SAPSA number],Table1[Initials])</f>
        <v>PD</v>
      </c>
      <c r="G66" s="17" t="str">
        <f ca="1">_xlfn.XLOOKUP(__xlnm._FilterDatabase_1[[#This Row],[SAPSA Number]],Table1[SAPSA number],Table1[Gender])</f>
        <v>S</v>
      </c>
      <c r="H66" s="19">
        <f ca="1">_xlfn.XLOOKUP(__xlnm._FilterDatabase_1[[#This Row],[SAPSA Number]],Table1[SAPSA number],Table1[Age])</f>
        <v>55</v>
      </c>
      <c r="I66" s="29" t="s">
        <v>233</v>
      </c>
      <c r="J66" s="21">
        <f t="shared" si="4"/>
        <v>0</v>
      </c>
      <c r="K66" s="22">
        <f t="shared" ref="K66:K70" si="7"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>
        <f t="shared" si="6"/>
        <v>13</v>
      </c>
      <c r="B67" s="26">
        <v>3810</v>
      </c>
      <c r="C67" s="25"/>
      <c r="D67" s="19" t="str">
        <f>_xlfn.XLOOKUP(__xlnm._FilterDatabase_1[[#This Row],[SAPSA Number]],Table1[SAPSA number],Table1[Name])</f>
        <v>Roelof</v>
      </c>
      <c r="E67" s="39" t="str">
        <f>_xlfn.XLOOKUP(__xlnm._FilterDatabase_1[[#This Row],[SAPSA Number]],Table1[SAPSA number],Table1[Surname])</f>
        <v>Liebenberg</v>
      </c>
      <c r="F67" s="28" t="str">
        <f>_xlfn.XLOOKUP(__xlnm._FilterDatabase_1[[#This Row],[SAPSA Number]],Table1[SAPSA number],Table1[Initials])</f>
        <v>R</v>
      </c>
      <c r="G67" s="17" t="str">
        <f ca="1">_xlfn.XLOOKUP(__xlnm._FilterDatabase_1[[#This Row],[SAPSA Number]],Table1[SAPSA number],Table1[Gender])</f>
        <v>S</v>
      </c>
      <c r="H67" s="19">
        <f ca="1">_xlfn.XLOOKUP(__xlnm._FilterDatabase_1[[#This Row],[SAPSA Number]],Table1[SAPSA number],Table1[Age])</f>
        <v>57</v>
      </c>
      <c r="I67" s="29" t="s">
        <v>233</v>
      </c>
      <c r="J67" s="21">
        <f t="shared" si="4"/>
        <v>0</v>
      </c>
      <c r="K67" s="22">
        <f t="shared" si="7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>
        <f t="shared" si="6"/>
        <v>13</v>
      </c>
      <c r="B68" s="27">
        <v>401</v>
      </c>
      <c r="C68" s="18"/>
      <c r="D68" s="19" t="str">
        <f>_xlfn.XLOOKUP(__xlnm._FilterDatabase_1[[#This Row],[SAPSA Number]],Table1[SAPSA number],Table1[Name])</f>
        <v>Sebella</v>
      </c>
      <c r="E68" s="39" t="str">
        <f>_xlfn.XLOOKUP(__xlnm._FilterDatabase_1[[#This Row],[SAPSA Number]],Table1[SAPSA number],Table1[Surname])</f>
        <v>O'Donovan</v>
      </c>
      <c r="F68" s="28" t="str">
        <f>_xlfn.XLOOKUP(__xlnm._FilterDatabase_1[[#This Row],[SAPSA Number]],Table1[SAPSA number],Table1[Initials])</f>
        <v>S</v>
      </c>
      <c r="G68" s="17" t="str">
        <f>_xlfn.XLOOKUP(__xlnm._FilterDatabase_1[[#This Row],[SAPSA Number]],Table1[SAPSA number],Table1[Gender])</f>
        <v>Lady</v>
      </c>
      <c r="H68" s="19">
        <f ca="1">_xlfn.XLOOKUP(__xlnm._FilterDatabase_1[[#This Row],[SAPSA Number]],Table1[SAPSA number],Table1[Age])</f>
        <v>70</v>
      </c>
      <c r="I68" s="29" t="s">
        <v>233</v>
      </c>
      <c r="J68" s="21">
        <f t="shared" si="4"/>
        <v>0</v>
      </c>
      <c r="K68" s="22">
        <f t="shared" si="7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>
        <f t="shared" si="6"/>
        <v>13</v>
      </c>
      <c r="B69" s="27">
        <v>1547</v>
      </c>
      <c r="C69" s="18"/>
      <c r="D69" s="19" t="str">
        <f>_xlfn.XLOOKUP(__xlnm._FilterDatabase_1[[#This Row],[SAPSA Number]],Table1[SAPSA number],Table1[Name])</f>
        <v>Marius Frans</v>
      </c>
      <c r="E69" s="39" t="str">
        <f>_xlfn.XLOOKUP(__xlnm._FilterDatabase_1[[#This Row],[SAPSA Number]],Table1[SAPSA number],Table1[Surname])</f>
        <v>van Biljon</v>
      </c>
      <c r="F69" s="28" t="str">
        <f>_xlfn.XLOOKUP(__xlnm._FilterDatabase_1[[#This Row],[SAPSA Number]],Table1[SAPSA number],Table1[Initials])</f>
        <v>MF</v>
      </c>
      <c r="G69" s="17" t="str">
        <f ca="1">_xlfn.XLOOKUP(__xlnm._FilterDatabase_1[[#This Row],[SAPSA Number]],Table1[SAPSA number],Table1[Gender])</f>
        <v>S</v>
      </c>
      <c r="H69" s="19">
        <f ca="1">_xlfn.XLOOKUP(__xlnm._FilterDatabase_1[[#This Row],[SAPSA Number]],Table1[SAPSA number],Table1[Age])</f>
        <v>53</v>
      </c>
      <c r="I69" s="29" t="s">
        <v>233</v>
      </c>
      <c r="J69" s="21">
        <f t="shared" si="4"/>
        <v>0</v>
      </c>
      <c r="K69" s="22">
        <f t="shared" si="7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si="6"/>
        <v>13</v>
      </c>
      <c r="B70" s="27">
        <v>3837</v>
      </c>
      <c r="C70" s="25"/>
      <c r="D70" s="19" t="str">
        <f>_xlfn.XLOOKUP(__xlnm._FilterDatabase_1[[#This Row],[SAPSA Number]],Table1[SAPSA number],Table1[Name])</f>
        <v>Daneel</v>
      </c>
      <c r="E70" s="39" t="str">
        <f>_xlfn.XLOOKUP(__xlnm._FilterDatabase_1[[#This Row],[SAPSA Number]],Table1[SAPSA number],Table1[Surname])</f>
        <v>van eck</v>
      </c>
      <c r="F70" s="28" t="str">
        <f>_xlfn.XLOOKUP(__xlnm._FilterDatabase_1[[#This Row],[SAPSA Number]],Table1[SAPSA number],Table1[Initials])</f>
        <v>DJ</v>
      </c>
      <c r="G70" s="17" t="str">
        <f ca="1">_xlfn.XLOOKUP(__xlnm._FilterDatabase_1[[#This Row],[SAPSA Number]],Table1[SAPSA number],Table1[Gender])</f>
        <v xml:space="preserve"> </v>
      </c>
      <c r="H70" s="19">
        <f ca="1">_xlfn.XLOOKUP(__xlnm._FilterDatabase_1[[#This Row],[SAPSA Number]],Table1[SAPSA number],Table1[Age])</f>
        <v>49</v>
      </c>
      <c r="I70" s="29" t="s">
        <v>233</v>
      </c>
      <c r="J70" s="21">
        <f t="shared" si="4"/>
        <v>0</v>
      </c>
      <c r="K70" s="22">
        <f t="shared" si="7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7"/>
      <c r="C71" s="25"/>
      <c r="D71" s="19"/>
      <c r="E71" s="39"/>
      <c r="F71" s="28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x14ac:dyDescent="0.3">
      <c r="A72" s="17"/>
      <c r="B72" s="40"/>
      <c r="C72" s="25"/>
      <c r="D72" s="19"/>
      <c r="E72" s="39"/>
      <c r="F72" s="28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17"/>
      <c r="B73" s="110"/>
      <c r="C73" s="25"/>
      <c r="D73" s="19"/>
      <c r="E73" s="39"/>
      <c r="F73" s="28"/>
      <c r="G73" s="17"/>
      <c r="H73" s="19"/>
      <c r="I73" s="2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17"/>
      <c r="B74" s="26"/>
      <c r="C74" s="25"/>
      <c r="D74" s="19"/>
      <c r="E74" s="39"/>
      <c r="F74" s="28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17"/>
      <c r="B75" s="26"/>
      <c r="C75" s="25"/>
      <c r="D75" s="19"/>
      <c r="E75" s="39"/>
      <c r="F75" s="28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31"/>
      <c r="B76" s="32"/>
      <c r="C76" s="25"/>
      <c r="D76" s="19"/>
      <c r="E76" s="39"/>
      <c r="F76" s="28"/>
      <c r="G76" s="17"/>
      <c r="H76" s="19"/>
      <c r="I76" s="33"/>
      <c r="J76" s="34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x14ac:dyDescent="0.3">
      <c r="A77" s="31"/>
      <c r="B77" s="32"/>
      <c r="C77" s="25"/>
      <c r="D77" s="19"/>
      <c r="E77" s="39"/>
      <c r="F77" s="28"/>
      <c r="G77" s="17"/>
      <c r="H77" s="19"/>
      <c r="I77" s="33"/>
      <c r="J77" s="34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x14ac:dyDescent="0.3">
      <c r="A78" s="31"/>
      <c r="B78" s="32"/>
      <c r="C78" s="25"/>
      <c r="D78" s="19"/>
      <c r="E78" s="39"/>
      <c r="F78" s="28"/>
      <c r="G78" s="17"/>
      <c r="H78" s="19"/>
      <c r="I78" s="33"/>
      <c r="J78" s="34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x14ac:dyDescent="0.3">
      <c r="A79" s="31"/>
      <c r="B79" s="32"/>
      <c r="C79" s="25"/>
      <c r="D79" s="19"/>
      <c r="E79" s="39"/>
      <c r="F79" s="28"/>
      <c r="G79" s="17"/>
      <c r="H79" s="19"/>
      <c r="I79" s="33"/>
      <c r="J79" s="34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31"/>
      <c r="B80" s="32"/>
      <c r="C80" s="25"/>
      <c r="D80" s="19"/>
      <c r="E80" s="39"/>
      <c r="F80" s="28"/>
      <c r="G80" s="17"/>
      <c r="H80" s="19"/>
      <c r="I80" s="33"/>
      <c r="J80" s="34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x14ac:dyDescent="0.3">
      <c r="A81" s="31"/>
      <c r="B81" s="32"/>
      <c r="C81" s="25"/>
      <c r="D81" s="19"/>
      <c r="E81" s="39"/>
      <c r="F81" s="28"/>
      <c r="G81" s="17"/>
      <c r="H81" s="19"/>
      <c r="I81" s="33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31"/>
      <c r="B82" s="32"/>
      <c r="C82" s="25"/>
      <c r="D82" s="19"/>
      <c r="E82" s="39"/>
      <c r="F82" s="28"/>
      <c r="G82" s="17"/>
      <c r="H82" s="19"/>
      <c r="I82" s="33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35"/>
      <c r="B83" s="32"/>
      <c r="C83" s="25"/>
      <c r="D83" s="19"/>
      <c r="E83" s="39"/>
      <c r="F83" s="28"/>
      <c r="G83" s="17"/>
      <c r="H83" s="19"/>
      <c r="I83" s="33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35"/>
      <c r="B84" s="32"/>
      <c r="C84" s="25"/>
      <c r="D84" s="19"/>
      <c r="E84" s="39"/>
      <c r="F84" s="28"/>
      <c r="G84" s="17"/>
      <c r="H84" s="19"/>
      <c r="I84" s="33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35"/>
      <c r="B85" s="32"/>
      <c r="C85" s="25"/>
      <c r="D85" s="19"/>
      <c r="E85" s="39"/>
      <c r="F85" s="28"/>
      <c r="G85" s="17"/>
      <c r="H85" s="19"/>
      <c r="I85" s="33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35"/>
      <c r="B86" s="41"/>
      <c r="C86" s="25"/>
      <c r="D86" s="19"/>
      <c r="E86" s="39"/>
      <c r="F86" s="28"/>
      <c r="G86" s="17"/>
      <c r="H86" s="19"/>
      <c r="I86" s="33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35"/>
      <c r="B87" s="41"/>
      <c r="C87" s="25"/>
      <c r="D87" s="19"/>
      <c r="E87" s="39"/>
      <c r="F87" s="28"/>
      <c r="G87" s="17"/>
      <c r="H87" s="19"/>
      <c r="I87" s="33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35"/>
      <c r="B88" s="32"/>
      <c r="C88" s="25"/>
      <c r="D88" s="19"/>
      <c r="E88" s="39"/>
      <c r="F88" s="28"/>
      <c r="G88" s="17"/>
      <c r="H88" s="19"/>
      <c r="I88" s="33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5"/>
      <c r="B89" s="32"/>
      <c r="C89" s="25"/>
      <c r="D89" s="19"/>
      <c r="E89" s="39"/>
      <c r="F89" s="28"/>
      <c r="G89" s="17"/>
      <c r="H89" s="19"/>
      <c r="I89" s="33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5"/>
      <c r="B90" s="32"/>
      <c r="C90" s="25"/>
      <c r="D90" s="19"/>
      <c r="E90" s="39"/>
      <c r="F90" s="28"/>
      <c r="G90" s="17"/>
      <c r="H90" s="19"/>
      <c r="I90" s="33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5"/>
      <c r="B91" s="32"/>
      <c r="C91" s="25"/>
      <c r="D91" s="19"/>
      <c r="E91" s="39"/>
      <c r="F91" s="28"/>
      <c r="G91" s="17"/>
      <c r="H91" s="19"/>
      <c r="I91" s="33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1"/>
      <c r="B92" s="41"/>
      <c r="C92" s="25"/>
      <c r="D92" s="19"/>
      <c r="E92" s="39"/>
      <c r="F92" s="28"/>
      <c r="G92" s="17"/>
      <c r="H92" s="19"/>
      <c r="I92" s="33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31"/>
      <c r="B93" s="32"/>
      <c r="C93" s="25"/>
      <c r="D93" s="19"/>
      <c r="E93" s="39"/>
      <c r="F93" s="28"/>
      <c r="G93" s="17"/>
      <c r="H93" s="19"/>
      <c r="I93" s="33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1"/>
      <c r="B94" s="32"/>
      <c r="C94" s="25"/>
      <c r="D94" s="19"/>
      <c r="E94" s="39"/>
      <c r="F94" s="28"/>
      <c r="G94" s="17"/>
      <c r="H94" s="19"/>
      <c r="I94" s="33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5"/>
      <c r="B95" s="42"/>
      <c r="C95" s="25"/>
      <c r="D95" s="19"/>
      <c r="E95" s="39"/>
      <c r="F95" s="28"/>
      <c r="G95" s="17"/>
      <c r="H95" s="19"/>
      <c r="I95" s="33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5"/>
      <c r="B96" s="32"/>
      <c r="C96" s="25"/>
      <c r="D96" s="19"/>
      <c r="E96" s="39"/>
      <c r="F96" s="28"/>
      <c r="G96" s="17"/>
      <c r="H96" s="19"/>
      <c r="I96" s="33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1"/>
      <c r="B97" s="32"/>
      <c r="C97" s="25"/>
      <c r="D97" s="19"/>
      <c r="E97" s="39"/>
      <c r="F97" s="28"/>
      <c r="G97" s="17"/>
      <c r="H97" s="19"/>
      <c r="I97" s="33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1"/>
      <c r="B98" s="32"/>
      <c r="C98" s="25"/>
      <c r="D98" s="19"/>
      <c r="E98" s="39"/>
      <c r="F98" s="28"/>
      <c r="G98" s="17"/>
      <c r="H98" s="19"/>
      <c r="I98" s="33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1"/>
      <c r="B99" s="32"/>
      <c r="C99" s="25"/>
      <c r="D99" s="19"/>
      <c r="E99" s="39"/>
      <c r="F99" s="28"/>
      <c r="G99" s="17"/>
      <c r="H99" s="19"/>
      <c r="I99" s="33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31"/>
      <c r="B100" s="32"/>
      <c r="C100" s="25"/>
      <c r="D100" s="19"/>
      <c r="E100" s="39"/>
      <c r="F100" s="28"/>
      <c r="G100" s="17"/>
      <c r="H100" s="19"/>
      <c r="I100" s="33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31"/>
      <c r="B101" s="32"/>
      <c r="C101" s="25"/>
      <c r="D101" s="19"/>
      <c r="E101" s="39"/>
      <c r="F101" s="28"/>
      <c r="G101" s="17"/>
      <c r="H101" s="19"/>
      <c r="I101" s="33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1"/>
      <c r="B102" s="32"/>
      <c r="C102" s="25"/>
      <c r="D102" s="19"/>
      <c r="E102" s="39"/>
      <c r="F102" s="28"/>
      <c r="G102" s="17"/>
      <c r="H102" s="19"/>
      <c r="I102" s="33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31"/>
      <c r="B103" s="32"/>
      <c r="C103" s="25"/>
      <c r="D103" s="19"/>
      <c r="E103" s="39"/>
      <c r="F103" s="28"/>
      <c r="G103" s="17"/>
      <c r="H103" s="19"/>
      <c r="I103" s="33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43"/>
      <c r="C104" s="25"/>
      <c r="D104" s="19"/>
      <c r="E104" s="39"/>
      <c r="F104" s="28"/>
      <c r="G104" s="17"/>
      <c r="H104" s="19"/>
      <c r="I104" s="33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x14ac:dyDescent="0.3">
      <c r="A105" s="31"/>
      <c r="B105" s="32"/>
      <c r="C105" s="25"/>
      <c r="D105" s="19"/>
      <c r="E105" s="39"/>
      <c r="F105" s="28"/>
      <c r="G105" s="17"/>
      <c r="H105" s="19"/>
      <c r="I105" s="33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x14ac:dyDescent="0.3">
      <c r="A106" s="31"/>
      <c r="B106" s="32"/>
      <c r="C106" s="25"/>
      <c r="D106" s="19"/>
      <c r="E106" s="39"/>
      <c r="F106" s="28"/>
      <c r="G106" s="17"/>
      <c r="H106" s="19"/>
      <c r="I106" s="33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31"/>
      <c r="B107" s="32"/>
      <c r="C107" s="25"/>
      <c r="D107" s="19"/>
      <c r="E107" s="39"/>
      <c r="F107" s="28"/>
      <c r="G107" s="17"/>
      <c r="H107" s="19"/>
      <c r="I107" s="33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x14ac:dyDescent="0.3">
      <c r="A108" s="31"/>
      <c r="B108" s="5"/>
      <c r="C108" s="25"/>
      <c r="D108" s="19"/>
      <c r="E108" s="39"/>
      <c r="F108" s="28"/>
      <c r="G108" s="17"/>
      <c r="H108" s="19"/>
      <c r="I108" s="33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31"/>
      <c r="B109" s="43"/>
      <c r="C109" s="25"/>
      <c r="D109" s="1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43"/>
      <c r="C110" s="25"/>
      <c r="D110" s="1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1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41"/>
      <c r="C112" s="25"/>
      <c r="D112" s="1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1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32"/>
      <c r="C114" s="25"/>
      <c r="D114" s="1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25"/>
      <c r="D115" s="1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25"/>
      <c r="D116" s="1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43"/>
      <c r="C117" s="25"/>
      <c r="D117" s="1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41"/>
      <c r="C118" s="25"/>
      <c r="D118" s="1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32"/>
      <c r="C119" s="25"/>
      <c r="D119" s="1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32"/>
      <c r="C120" s="25"/>
      <c r="D120" s="1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32"/>
      <c r="C121" s="25"/>
      <c r="D121" s="1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32"/>
      <c r="C122" s="25"/>
      <c r="D122" s="1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32"/>
      <c r="C123" s="25"/>
      <c r="D123" s="1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32"/>
      <c r="C124" s="25"/>
      <c r="D124" s="1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43"/>
      <c r="C125" s="25"/>
      <c r="D125" s="19"/>
      <c r="E125" s="39"/>
      <c r="F125" s="28"/>
      <c r="G125" s="17"/>
      <c r="H125" s="19"/>
      <c r="I125" s="33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32"/>
      <c r="C126" s="25"/>
      <c r="D126" s="19"/>
      <c r="E126" s="39"/>
      <c r="F126" s="28"/>
      <c r="G126" s="17"/>
      <c r="H126" s="19"/>
      <c r="I126" s="33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  <row r="127" spans="1:23" x14ac:dyDescent="0.3">
      <c r="A127" s="31"/>
      <c r="B127" s="32"/>
      <c r="C127" s="25"/>
      <c r="D127" s="19"/>
      <c r="E127" s="39"/>
      <c r="F127" s="28"/>
      <c r="G127" s="17"/>
      <c r="H127" s="19"/>
      <c r="I127" s="33"/>
      <c r="J127" s="34"/>
      <c r="K127" s="22"/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</row>
    <row r="128" spans="1:23" x14ac:dyDescent="0.3">
      <c r="A128" s="31"/>
      <c r="B128" s="43"/>
      <c r="C128" s="25"/>
      <c r="D128" s="19"/>
      <c r="E128" s="39"/>
      <c r="F128" s="28"/>
      <c r="G128" s="17"/>
      <c r="H128" s="19"/>
      <c r="I128" s="33"/>
      <c r="J128" s="34"/>
      <c r="K128" s="22"/>
      <c r="L128" s="23"/>
      <c r="M128" s="24"/>
      <c r="N128" s="23"/>
      <c r="O128" s="24"/>
      <c r="P128" s="23"/>
      <c r="Q128" s="24"/>
      <c r="R128" s="23"/>
      <c r="S128" s="24"/>
      <c r="T128" s="23"/>
      <c r="U128" s="24"/>
      <c r="V128" s="23"/>
      <c r="W128" s="24"/>
    </row>
    <row r="129" spans="1:23" x14ac:dyDescent="0.3">
      <c r="A129" s="31"/>
      <c r="B129" s="43"/>
      <c r="C129" s="25"/>
      <c r="D129" s="19"/>
      <c r="E129" s="39"/>
      <c r="F129" s="28"/>
      <c r="G129" s="17"/>
      <c r="H129" s="19"/>
      <c r="I129" s="33"/>
      <c r="J129" s="34"/>
      <c r="K129" s="22"/>
      <c r="L129" s="23"/>
      <c r="M129" s="24"/>
      <c r="N129" s="23"/>
      <c r="O129" s="24"/>
      <c r="P129" s="23"/>
      <c r="Q129" s="24"/>
      <c r="R129" s="23"/>
      <c r="S129" s="24"/>
      <c r="T129" s="23"/>
      <c r="U129" s="24"/>
      <c r="V129" s="23"/>
      <c r="W129" s="24"/>
    </row>
    <row r="130" spans="1:23" x14ac:dyDescent="0.3">
      <c r="A130" s="31"/>
      <c r="B130" s="43"/>
      <c r="C130" s="25"/>
      <c r="D130" s="19"/>
      <c r="E130" s="39"/>
      <c r="F130" s="28"/>
      <c r="G130" s="17"/>
      <c r="H130" s="19"/>
      <c r="I130" s="33"/>
      <c r="J130" s="34"/>
      <c r="K130" s="22"/>
      <c r="L130" s="23"/>
      <c r="M130" s="24"/>
      <c r="N130" s="23"/>
      <c r="O130" s="24"/>
      <c r="P130" s="23"/>
      <c r="Q130" s="24"/>
      <c r="R130" s="23"/>
      <c r="S130" s="24"/>
      <c r="T130" s="23"/>
      <c r="U130" s="24"/>
      <c r="V130" s="23"/>
      <c r="W130" s="24"/>
    </row>
    <row r="131" spans="1:23" x14ac:dyDescent="0.3">
      <c r="A131" s="31"/>
      <c r="B131" s="43"/>
      <c r="C131" s="25">
        <f>_xlfn.XLOOKUP(__xlnm._FilterDatabase_1[[#This Row],[SAPSA Number]],Table1[SAPSA number],Table1[Paid up])</f>
        <v>0</v>
      </c>
      <c r="D131" s="19"/>
      <c r="E131" s="39"/>
      <c r="F131" s="28"/>
      <c r="G131" s="17"/>
      <c r="H131" s="19"/>
      <c r="I131" s="33" t="s">
        <v>233</v>
      </c>
      <c r="J131" s="34">
        <f>(IF(L131&gt;0,1,0)+(IF(M131&gt;0,1,0))+(IF(N131&gt;0,1,0))+(IF(O131&gt;0,1,0))+(IF(P131&gt;0,1,0))+(IF(Q131&gt;0,1,0))+(IF(R131&gt;0,1,0))+(IF(S131&gt;0,1,0))+(IF(T131&gt;0,1,0))+(IF(U131&gt;0,1,0))+(IF(V131&gt;0,1,0))+(IF(W131&gt;0,1,0)))</f>
        <v>0</v>
      </c>
      <c r="K131" s="22">
        <f>(LARGE(L131:W131,1)+LARGE(L131:W131,2)+LARGE(L131:W131,3)+LARGE(L131:W131,4)+LARGE(L131:W131,5))/5</f>
        <v>0</v>
      </c>
      <c r="L131" s="23">
        <v>0</v>
      </c>
      <c r="M131" s="24">
        <v>0</v>
      </c>
      <c r="N131" s="23">
        <v>0</v>
      </c>
      <c r="O131" s="24">
        <v>0</v>
      </c>
      <c r="P131" s="23">
        <v>0</v>
      </c>
      <c r="Q131" s="24">
        <v>0</v>
      </c>
      <c r="R131" s="23">
        <v>0</v>
      </c>
      <c r="S131" s="24">
        <v>0</v>
      </c>
      <c r="T131" s="23">
        <v>0</v>
      </c>
      <c r="U131" s="24">
        <v>0</v>
      </c>
      <c r="V131" s="23">
        <v>0</v>
      </c>
      <c r="W131" s="24">
        <v>0</v>
      </c>
    </row>
    <row r="132" spans="1:23" x14ac:dyDescent="0.3">
      <c r="A132" s="31"/>
      <c r="B132" s="32"/>
      <c r="C132" s="25">
        <f>_xlfn.XLOOKUP(__xlnm._FilterDatabase_1[[#This Row],[SAPSA Number]],Table1[SAPSA number],Table1[Paid up])</f>
        <v>0</v>
      </c>
      <c r="D132" s="19"/>
      <c r="E132" s="39"/>
      <c r="F132" s="28"/>
      <c r="G132" s="17"/>
      <c r="H132" s="19"/>
      <c r="I132" s="33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3">
      <c r="A133" s="31"/>
      <c r="B133" s="32"/>
      <c r="C133" s="25">
        <f>_xlfn.XLOOKUP(__xlnm._FilterDatabase_1[[#This Row],[SAPSA Number]],Table1[SAPSA number],Table1[Paid up])</f>
        <v>0</v>
      </c>
      <c r="D133" s="19"/>
      <c r="E133" s="39"/>
      <c r="F133" s="28"/>
      <c r="G133" s="17"/>
      <c r="H133" s="19"/>
      <c r="I133" s="33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3">
      <c r="A134" s="31"/>
      <c r="B134" s="32"/>
      <c r="C134" s="25">
        <f>_xlfn.XLOOKUP(__xlnm._FilterDatabase_1[[#This Row],[SAPSA Number]],Table1[SAPSA number],Table1[Paid up])</f>
        <v>0</v>
      </c>
      <c r="D134" s="19"/>
      <c r="E134" s="39"/>
      <c r="F134" s="28"/>
      <c r="G134" s="17"/>
      <c r="H134" s="19"/>
      <c r="I134" s="33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</sheetData>
  <conditionalFormatting sqref="G2:G134">
    <cfRule type="cellIs" dxfId="14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C964D-082F-4E8C-9BE8-A072EF75A39F}">
  <sheetPr codeName="Sheet5">
    <tabColor rgb="FF0070C0"/>
  </sheetPr>
  <dimension ref="A1:AMJ124"/>
  <sheetViews>
    <sheetView zoomScale="80" zoomScaleNormal="80" workbookViewId="0">
      <pane xSplit="11" ySplit="1" topLeftCell="W3" activePane="bottomRight" state="frozen"/>
      <selection activeCell="D82" sqref="D82"/>
      <selection pane="topRight" activeCell="D82" sqref="D82"/>
      <selection pane="bottomLeft" activeCell="D82" sqref="D82"/>
      <selection pane="bottomRight" activeCell="W26" sqref="W26"/>
    </sheetView>
  </sheetViews>
  <sheetFormatPr defaultRowHeight="14.4" x14ac:dyDescent="0.3"/>
  <cols>
    <col min="1" max="1" width="11.88671875" style="37" customWidth="1"/>
    <col min="2" max="2" width="10.33203125" style="16" customWidth="1"/>
    <col min="3" max="3" width="10.33203125" style="16" hidden="1" customWidth="1"/>
    <col min="4" max="4" width="23.33203125" style="16" customWidth="1"/>
    <col min="5" max="5" width="16.109375" style="16" bestFit="1" customWidth="1"/>
    <col min="6" max="6" width="8.109375" style="16" customWidth="1"/>
    <col min="7" max="7" width="7" style="16" customWidth="1"/>
    <col min="8" max="8" width="6.33203125" style="16" hidden="1" customWidth="1"/>
    <col min="9" max="9" width="9.5546875" style="16" customWidth="1"/>
    <col min="10" max="10" width="10.88671875" style="16" customWidth="1"/>
    <col min="11" max="11" width="11.5546875" style="38" customWidth="1"/>
    <col min="12" max="15" width="6.88671875" style="16" customWidth="1"/>
    <col min="16" max="16" width="10.33203125" style="16" customWidth="1"/>
    <col min="17" max="17" width="9.33203125" style="16" customWidth="1"/>
    <col min="18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11" t="s">
        <v>187</v>
      </c>
      <c r="C1" s="11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hidden="1" customHeight="1" x14ac:dyDescent="0.3">
      <c r="A2" s="17">
        <f t="shared" ref="A2:A17" si="0">RANK(K2,K$2:K$135,0)</f>
        <v>1</v>
      </c>
      <c r="B2" s="18">
        <v>5304</v>
      </c>
      <c r="C2" s="100">
        <f>_xlfn.XLOOKUP(__xlnm._FilterDatabase_156[[#This Row],[SAPSA Number]],Table1[SAPSA number],Table1[Paid up])</f>
        <v>0</v>
      </c>
      <c r="D2" s="19" t="str">
        <f>_xlfn.XLOOKUP(__xlnm._FilterDatabase_156[[#This Row],[SAPSA Number]],Table1[SAPSA number],Table1[Name])</f>
        <v>Johan Gerard</v>
      </c>
      <c r="E2" s="39" t="str">
        <f>_xlfn.XLOOKUP(__xlnm._FilterDatabase_156[[#This Row],[SAPSA Number]],Table1[SAPSA number],Table1[Surname])</f>
        <v>Bultman</v>
      </c>
      <c r="F2" s="28" t="str">
        <f>_xlfn.XLOOKUP(__xlnm._FilterDatabase_156[[#This Row],[SAPSA Number]],Table1[SAPSA number],Table1[Initials])</f>
        <v>JG</v>
      </c>
      <c r="G2" s="17" t="str">
        <f ca="1">_xlfn.XLOOKUP(__xlnm._FilterDatabase_156[[#This Row],[SAPSA Number]],Table1[SAPSA number],Table1[Gender])</f>
        <v xml:space="preserve"> </v>
      </c>
      <c r="H2" s="19">
        <f ca="1">_xlfn.XLOOKUP(__xlnm._FilterDatabase_1[[#This Row],[SAPSA Number]],Table1[SAPSA number],Table1[Age])</f>
        <v>66</v>
      </c>
      <c r="I2" s="19" t="s">
        <v>244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5</v>
      </c>
      <c r="K2" s="22">
        <f t="shared" ref="K2:K33" si="2">(LARGE(L2:W2,1)+LARGE(L2:W2,2)+LARGE(L2:W2,3)+LARGE(L2:W2,4)+LARGE(L2:W2,5))/5</f>
        <v>99.267179999999996</v>
      </c>
      <c r="L2" s="23">
        <v>96.335899999999995</v>
      </c>
      <c r="M2" s="24">
        <v>0</v>
      </c>
      <c r="N2" s="23">
        <v>100</v>
      </c>
      <c r="O2" s="24">
        <v>100</v>
      </c>
      <c r="P2" s="23">
        <v>0</v>
      </c>
      <c r="Q2" s="24">
        <v>100</v>
      </c>
      <c r="R2" s="23">
        <v>100</v>
      </c>
      <c r="S2" s="24">
        <v>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 t="shared" si="0"/>
        <v>2</v>
      </c>
      <c r="B3" s="25">
        <v>572</v>
      </c>
      <c r="C3" s="25" t="str">
        <f>_xlfn.XLOOKUP(__xlnm._FilterDatabase_156[[#This Row],[SAPSA Number]],Table1[SAPSA number],Table1[Paid up])</f>
        <v>Y</v>
      </c>
      <c r="D3" s="19" t="str">
        <f>_xlfn.XLOOKUP(__xlnm._FilterDatabase_156[[#This Row],[SAPSA Number]],Table1[SAPSA number],Table1[Name])</f>
        <v>DJ</v>
      </c>
      <c r="E3" s="39" t="str">
        <f>_xlfn.XLOOKUP(__xlnm._FilterDatabase_156[[#This Row],[SAPSA Number]],Table1[SAPSA number],Table1[Surname])</f>
        <v>Smith</v>
      </c>
      <c r="F3" s="28" t="str">
        <f>_xlfn.XLOOKUP(__xlnm._FilterDatabase_156[[#This Row],[SAPSA Number]],Table1[SAPSA number],Table1[Initials])</f>
        <v>DJ</v>
      </c>
      <c r="G3" s="17" t="str">
        <f ca="1">_xlfn.XLOOKUP(__xlnm._FilterDatabase_156[[#This Row],[SAPSA Number]],Table1[SAPSA number],Table1[Gender])</f>
        <v>SS</v>
      </c>
      <c r="H3" s="19">
        <f ca="1">_xlfn.XLOOKUP(__xlnm._FilterDatabase_1[[#This Row],[SAPSA Number]],Table1[SAPSA number],Table1[Age])</f>
        <v>68</v>
      </c>
      <c r="I3" s="19" t="s">
        <v>244</v>
      </c>
      <c r="J3" s="21">
        <f t="shared" si="1"/>
        <v>5</v>
      </c>
      <c r="K3" s="22">
        <f t="shared" si="2"/>
        <v>95.589799999999997</v>
      </c>
      <c r="L3" s="23">
        <v>0</v>
      </c>
      <c r="M3" s="24">
        <v>97.929199999999994</v>
      </c>
      <c r="N3" s="23">
        <v>0</v>
      </c>
      <c r="O3" s="24">
        <v>0</v>
      </c>
      <c r="P3" s="23">
        <v>100</v>
      </c>
      <c r="Q3" s="24">
        <v>0</v>
      </c>
      <c r="R3" s="23">
        <v>80.019800000000004</v>
      </c>
      <c r="S3" s="24">
        <v>0</v>
      </c>
      <c r="T3" s="23">
        <v>0</v>
      </c>
      <c r="U3" s="24">
        <v>100</v>
      </c>
      <c r="V3" s="23">
        <v>0</v>
      </c>
      <c r="W3" s="24">
        <v>100</v>
      </c>
    </row>
    <row r="4" spans="1:23" ht="14.4" customHeight="1" x14ac:dyDescent="0.3">
      <c r="A4" s="17">
        <f t="shared" si="0"/>
        <v>4</v>
      </c>
      <c r="B4" s="25">
        <v>7260</v>
      </c>
      <c r="C4" s="25">
        <f>_xlfn.XLOOKUP(__xlnm._FilterDatabase_156[[#This Row],[SAPSA Number]],Table1[SAPSA number],Table1[Paid up])</f>
        <v>0</v>
      </c>
      <c r="D4" s="19" t="str">
        <f>_xlfn.XLOOKUP(__xlnm._FilterDatabase_156[[#This Row],[SAPSA Number]],Table1[SAPSA number],Table1[Name])</f>
        <v>Glenn</v>
      </c>
      <c r="E4" s="39" t="str">
        <f>_xlfn.XLOOKUP(__xlnm._FilterDatabase_156[[#This Row],[SAPSA Number]],Table1[SAPSA number],Table1[Surname])</f>
        <v>Kieser</v>
      </c>
      <c r="F4" s="28" t="str">
        <f>_xlfn.XLOOKUP(__xlnm._FilterDatabase_156[[#This Row],[SAPSA Number]],Table1[SAPSA number],Table1[Initials])</f>
        <v>G</v>
      </c>
      <c r="G4" s="17" t="str">
        <f ca="1">_xlfn.XLOOKUP(__xlnm._FilterDatabase_156[[#This Row],[SAPSA Number]],Table1[SAPSA number],Table1[Gender])</f>
        <v>SS</v>
      </c>
      <c r="H4" s="19">
        <f ca="1">_xlfn.XLOOKUP(__xlnm._FilterDatabase_1[[#This Row],[SAPSA Number]],Table1[SAPSA number],Table1[Age])</f>
        <v>66</v>
      </c>
      <c r="I4" s="19" t="s">
        <v>244</v>
      </c>
      <c r="J4" s="21">
        <f t="shared" si="1"/>
        <v>6</v>
      </c>
      <c r="K4" s="22">
        <f t="shared" si="2"/>
        <v>55.4953</v>
      </c>
      <c r="L4" s="23">
        <v>46.1387</v>
      </c>
      <c r="M4" s="24">
        <v>41.761299999999999</v>
      </c>
      <c r="N4" s="23">
        <v>45.066600000000001</v>
      </c>
      <c r="O4" s="24">
        <v>0</v>
      </c>
      <c r="P4" s="23">
        <v>0</v>
      </c>
      <c r="Q4" s="24">
        <v>0</v>
      </c>
      <c r="R4" s="23">
        <v>42.010300000000001</v>
      </c>
      <c r="S4" s="24">
        <v>75.260900000000007</v>
      </c>
      <c r="T4" s="23">
        <v>0</v>
      </c>
      <c r="U4" s="24">
        <v>0</v>
      </c>
      <c r="V4" s="23">
        <v>0</v>
      </c>
      <c r="W4" s="24">
        <v>69</v>
      </c>
    </row>
    <row r="5" spans="1:23" ht="14.4" customHeight="1" x14ac:dyDescent="0.3">
      <c r="A5" s="17">
        <f t="shared" si="0"/>
        <v>3</v>
      </c>
      <c r="B5" s="25">
        <v>393</v>
      </c>
      <c r="C5" s="25" t="str">
        <f>_xlfn.XLOOKUP(__xlnm._FilterDatabase_156[[#This Row],[SAPSA Number]],Table1[SAPSA number],Table1[Paid up])</f>
        <v>Y</v>
      </c>
      <c r="D5" s="19" t="str">
        <f>_xlfn.XLOOKUP(__xlnm._FilterDatabase_156[[#This Row],[SAPSA Number]],Table1[SAPSA number],Table1[Name])</f>
        <v>Robyn Angela</v>
      </c>
      <c r="E5" s="39" t="str">
        <f>_xlfn.XLOOKUP(__xlnm._FilterDatabase_156[[#This Row],[SAPSA Number]],Table1[SAPSA number],Table1[Surname])</f>
        <v>Evans</v>
      </c>
      <c r="F5" s="28" t="str">
        <f>_xlfn.XLOOKUP(__xlnm._FilterDatabase_156[[#This Row],[SAPSA Number]],Table1[SAPSA number],Table1[Initials])</f>
        <v>RA</v>
      </c>
      <c r="G5" s="17" t="str">
        <f>_xlfn.XLOOKUP(__xlnm._FilterDatabase_156[[#This Row],[SAPSA Number]],Table1[SAPSA number],Table1[Gender])</f>
        <v>Lady</v>
      </c>
      <c r="H5" s="19">
        <f ca="1">_xlfn.XLOOKUP(__xlnm._FilterDatabase_1[[#This Row],[SAPSA Number]],Table1[SAPSA number],Table1[Age])</f>
        <v>66</v>
      </c>
      <c r="I5" s="19" t="s">
        <v>244</v>
      </c>
      <c r="J5" s="21">
        <f t="shared" si="1"/>
        <v>4</v>
      </c>
      <c r="K5" s="22">
        <f t="shared" si="2"/>
        <v>57.701780000000007</v>
      </c>
      <c r="L5" s="23">
        <v>68.897800000000004</v>
      </c>
      <c r="M5" s="24">
        <v>0</v>
      </c>
      <c r="N5" s="23">
        <v>0</v>
      </c>
      <c r="O5" s="24">
        <v>55.598399999999998</v>
      </c>
      <c r="P5" s="23">
        <v>0</v>
      </c>
      <c r="Q5" s="24">
        <v>0</v>
      </c>
      <c r="R5" s="23">
        <v>0</v>
      </c>
      <c r="S5" s="24">
        <v>89.012699999999995</v>
      </c>
      <c r="T5" s="23">
        <v>0</v>
      </c>
      <c r="U5" s="24">
        <v>0</v>
      </c>
      <c r="V5" s="23">
        <v>0</v>
      </c>
      <c r="W5" s="24">
        <v>75</v>
      </c>
    </row>
    <row r="6" spans="1:23" ht="14.4" hidden="1" customHeight="1" x14ac:dyDescent="0.3">
      <c r="A6" s="17">
        <f t="shared" si="0"/>
        <v>5</v>
      </c>
      <c r="B6" s="25">
        <v>7132</v>
      </c>
      <c r="C6" s="25" t="str">
        <f>_xlfn.XLOOKUP(__xlnm._FilterDatabase_156[[#This Row],[SAPSA Number]],Table1[SAPSA number],Table1[Paid up])</f>
        <v>Y</v>
      </c>
      <c r="D6" s="19" t="str">
        <f>_xlfn.XLOOKUP(__xlnm._FilterDatabase_156[[#This Row],[SAPSA Number]],Table1[SAPSA number],Table1[Name])</f>
        <v>Yussuf</v>
      </c>
      <c r="E6" s="39" t="str">
        <f>_xlfn.XLOOKUP(__xlnm._FilterDatabase_156[[#This Row],[SAPSA Number]],Table1[SAPSA number],Table1[Surname])</f>
        <v>Mayet</v>
      </c>
      <c r="F6" s="28" t="str">
        <f>_xlfn.XLOOKUP(__xlnm._FilterDatabase_156[[#This Row],[SAPSA Number]],Table1[SAPSA number],Table1[Initials])</f>
        <v>Y</v>
      </c>
      <c r="G6" s="17" t="str">
        <f ca="1">_xlfn.XLOOKUP(__xlnm._FilterDatabase_156[[#This Row],[SAPSA Number]],Table1[SAPSA number],Table1[Gender])</f>
        <v>GS</v>
      </c>
      <c r="H6" s="19">
        <f ca="1">_xlfn.XLOOKUP(__xlnm._FilterDatabase_1[[#This Row],[SAPSA Number]],Table1[SAPSA number],Table1[Age])</f>
        <v>25</v>
      </c>
      <c r="I6" s="19" t="s">
        <v>244</v>
      </c>
      <c r="J6" s="21">
        <f t="shared" si="1"/>
        <v>3</v>
      </c>
      <c r="K6" s="22">
        <f t="shared" si="2"/>
        <v>39.029219999999995</v>
      </c>
      <c r="L6" s="23">
        <v>56.135800000000003</v>
      </c>
      <c r="M6" s="24">
        <v>0</v>
      </c>
      <c r="N6" s="23">
        <v>51.5366</v>
      </c>
      <c r="O6" s="24">
        <v>0</v>
      </c>
      <c r="P6" s="23">
        <v>0</v>
      </c>
      <c r="Q6" s="24">
        <v>0</v>
      </c>
      <c r="R6" s="23">
        <v>0</v>
      </c>
      <c r="S6" s="24">
        <v>87.473699999999994</v>
      </c>
      <c r="T6" s="23">
        <v>0</v>
      </c>
      <c r="U6" s="24">
        <v>0</v>
      </c>
      <c r="V6" s="23">
        <v>0</v>
      </c>
      <c r="W6" s="24">
        <v>0</v>
      </c>
    </row>
    <row r="7" spans="1:23" ht="14.4" hidden="1" customHeight="1" x14ac:dyDescent="0.3">
      <c r="A7" s="17">
        <f t="shared" si="0"/>
        <v>6</v>
      </c>
      <c r="B7" s="18">
        <v>6846</v>
      </c>
      <c r="C7" s="100">
        <f>_xlfn.XLOOKUP(__xlnm._FilterDatabase_156[[#This Row],[SAPSA Number]],Table1[SAPSA number],Table1[Paid up])</f>
        <v>0</v>
      </c>
      <c r="D7" s="19" t="str">
        <f>_xlfn.XLOOKUP(__xlnm._FilterDatabase_156[[#This Row],[SAPSA Number]],Table1[SAPSA number],Table1[Name])</f>
        <v>Daniel Stephanus Jacobus</v>
      </c>
      <c r="E7" s="39" t="str">
        <f>_xlfn.XLOOKUP(__xlnm._FilterDatabase_156[[#This Row],[SAPSA Number]],Table1[SAPSA number],Table1[Surname])</f>
        <v>Dreyer</v>
      </c>
      <c r="F7" s="28" t="str">
        <f>_xlfn.XLOOKUP(__xlnm._FilterDatabase_156[[#This Row],[SAPSA Number]],Table1[SAPSA number],Table1[Initials])</f>
        <v>DSJ</v>
      </c>
      <c r="G7" s="17" t="str">
        <f ca="1">_xlfn.XLOOKUP(__xlnm._FilterDatabase_156[[#This Row],[SAPSA Number]],Table1[SAPSA number],Table1[Gender])</f>
        <v xml:space="preserve"> </v>
      </c>
      <c r="H7" s="19">
        <f ca="1">_xlfn.XLOOKUP(__xlnm._FilterDatabase_1[[#This Row],[SAPSA Number]],Table1[SAPSA number],Table1[Age])</f>
        <v>52</v>
      </c>
      <c r="I7" s="19" t="s">
        <v>244</v>
      </c>
      <c r="J7" s="21">
        <f t="shared" si="1"/>
        <v>2</v>
      </c>
      <c r="K7" s="22">
        <f t="shared" si="2"/>
        <v>35.805359999999993</v>
      </c>
      <c r="L7" s="23">
        <v>0</v>
      </c>
      <c r="M7" s="24">
        <v>0</v>
      </c>
      <c r="N7" s="23">
        <v>79.026799999999994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100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 t="shared" si="0"/>
        <v>7</v>
      </c>
      <c r="B8" s="18">
        <v>3339</v>
      </c>
      <c r="C8" s="100" t="str">
        <f>_xlfn.XLOOKUP(__xlnm._FilterDatabase_156[[#This Row],[SAPSA Number]],Table1[SAPSA number],Table1[Paid up])</f>
        <v>Y</v>
      </c>
      <c r="D8" s="19" t="str">
        <f>_xlfn.XLOOKUP(__xlnm._FilterDatabase_156[[#This Row],[SAPSA Number]],Table1[SAPSA number],Table1[Name])</f>
        <v>Hendrik Johannes</v>
      </c>
      <c r="E8" s="39" t="str">
        <f>_xlfn.XLOOKUP(__xlnm._FilterDatabase_156[[#This Row],[SAPSA Number]],Table1[SAPSA number],Table1[Surname])</f>
        <v>Joubert</v>
      </c>
      <c r="F8" s="28" t="str">
        <f>_xlfn.XLOOKUP(__xlnm._FilterDatabase_156[[#This Row],[SAPSA Number]],Table1[SAPSA number],Table1[Initials])</f>
        <v>HJ</v>
      </c>
      <c r="G8" s="17" t="str">
        <f ca="1">_xlfn.XLOOKUP(__xlnm._FilterDatabase_156[[#This Row],[SAPSA Number]],Table1[SAPSA number],Table1[Gender])</f>
        <v>S</v>
      </c>
      <c r="H8" s="19">
        <f ca="1">_xlfn.XLOOKUP(__xlnm._FilterDatabase_1[[#This Row],[SAPSA Number]],Table1[SAPSA number],Table1[Age])</f>
        <v>70</v>
      </c>
      <c r="I8" s="19" t="s">
        <v>244</v>
      </c>
      <c r="J8" s="21">
        <f t="shared" si="1"/>
        <v>3</v>
      </c>
      <c r="K8" s="22">
        <f t="shared" si="2"/>
        <v>34.014740000000003</v>
      </c>
      <c r="L8" s="23">
        <v>0</v>
      </c>
      <c r="M8" s="24">
        <v>51.5002</v>
      </c>
      <c r="N8" s="23">
        <v>0</v>
      </c>
      <c r="O8" s="24">
        <v>47.394399999999997</v>
      </c>
      <c r="P8" s="23">
        <v>0</v>
      </c>
      <c r="Q8" s="24">
        <v>0</v>
      </c>
      <c r="R8" s="23">
        <v>0</v>
      </c>
      <c r="S8" s="24">
        <v>0</v>
      </c>
      <c r="T8" s="23">
        <v>71.179100000000005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 t="shared" si="0"/>
        <v>8</v>
      </c>
      <c r="B9" s="25">
        <v>3822</v>
      </c>
      <c r="C9" s="25" t="str">
        <f>_xlfn.XLOOKUP(__xlnm._FilterDatabase_156[[#This Row],[SAPSA Number]],Table1[SAPSA number],Table1[Paid up])</f>
        <v>Y</v>
      </c>
      <c r="D9" s="19" t="str">
        <f>_xlfn.XLOOKUP(__xlnm._FilterDatabase_156[[#This Row],[SAPSA Number]],Table1[SAPSA number],Table1[Name])</f>
        <v>Wayne Erald</v>
      </c>
      <c r="E9" s="39" t="str">
        <f>_xlfn.XLOOKUP(__xlnm._FilterDatabase_156[[#This Row],[SAPSA Number]],Table1[SAPSA number],Table1[Surname])</f>
        <v>Schmidt</v>
      </c>
      <c r="F9" s="28" t="str">
        <f>_xlfn.XLOOKUP(__xlnm._FilterDatabase_156[[#This Row],[SAPSA Number]],Table1[SAPSA number],Table1[Initials])</f>
        <v>WE</v>
      </c>
      <c r="G9" s="17" t="str">
        <f ca="1">_xlfn.XLOOKUP(__xlnm._FilterDatabase_156[[#This Row],[SAPSA Number]],Table1[SAPSA number],Table1[Gender])</f>
        <v>S</v>
      </c>
      <c r="H9" s="19">
        <f ca="1">_xlfn.XLOOKUP(__xlnm._FilterDatabase_1[[#This Row],[SAPSA Number]],Table1[SAPSA number],Table1[Age])</f>
        <v>72</v>
      </c>
      <c r="I9" s="19" t="s">
        <v>244</v>
      </c>
      <c r="J9" s="21">
        <f t="shared" si="1"/>
        <v>2</v>
      </c>
      <c r="K9" s="22">
        <f t="shared" si="2"/>
        <v>32.629840000000002</v>
      </c>
      <c r="L9" s="23">
        <v>0</v>
      </c>
      <c r="M9" s="24">
        <v>0</v>
      </c>
      <c r="N9" s="23">
        <v>0</v>
      </c>
      <c r="O9" s="24">
        <v>63.1492</v>
      </c>
      <c r="P9" s="23">
        <v>0</v>
      </c>
      <c r="Q9" s="24">
        <v>0</v>
      </c>
      <c r="R9" s="23">
        <v>0</v>
      </c>
      <c r="S9" s="24">
        <v>100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si="0"/>
        <v>11</v>
      </c>
      <c r="B10" s="18">
        <v>4862</v>
      </c>
      <c r="C10" s="100" t="str">
        <f>_xlfn.XLOOKUP(__xlnm._FilterDatabase_156[[#This Row],[SAPSA Number]],Table1[SAPSA number],Table1[Paid up])</f>
        <v>Y</v>
      </c>
      <c r="D10" s="19" t="str">
        <f>_xlfn.XLOOKUP(__xlnm._FilterDatabase_156[[#This Row],[SAPSA Number]],Table1[SAPSA number],Table1[Name])</f>
        <v>George Keith</v>
      </c>
      <c r="E10" s="39" t="str">
        <f>_xlfn.XLOOKUP(__xlnm._FilterDatabase_156[[#This Row],[SAPSA Number]],Table1[SAPSA number],Table1[Surname])</f>
        <v>Marais</v>
      </c>
      <c r="F10" s="28" t="str">
        <f>_xlfn.XLOOKUP(__xlnm._FilterDatabase_156[[#This Row],[SAPSA Number]],Table1[SAPSA number],Table1[Initials])</f>
        <v>GK</v>
      </c>
      <c r="G10" s="17" t="str">
        <f ca="1">_xlfn.XLOOKUP(__xlnm._FilterDatabase_156[[#This Row],[SAPSA Number]],Table1[SAPSA number],Table1[Gender])</f>
        <v>S</v>
      </c>
      <c r="H10" s="19">
        <f ca="1">_xlfn.XLOOKUP(__xlnm._FilterDatabase_1[[#This Row],[SAPSA Number]],Table1[SAPSA number],Table1[Age])</f>
        <v>60</v>
      </c>
      <c r="I10" s="19" t="s">
        <v>244</v>
      </c>
      <c r="J10" s="21">
        <f t="shared" si="1"/>
        <v>1</v>
      </c>
      <c r="K10" s="22">
        <f t="shared" si="2"/>
        <v>12.648</v>
      </c>
      <c r="L10" s="23">
        <v>63.24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hidden="1" customHeight="1" x14ac:dyDescent="0.3">
      <c r="A11" s="17">
        <f t="shared" si="0"/>
        <v>12</v>
      </c>
      <c r="B11" s="25">
        <v>7271</v>
      </c>
      <c r="C11" s="100" t="str">
        <f>_xlfn.XLOOKUP(__xlnm._FilterDatabase_156[[#This Row],[SAPSA Number]],Table1[SAPSA number],Table1[Paid up])</f>
        <v>Y</v>
      </c>
      <c r="D11" s="19" t="str">
        <f>_xlfn.XLOOKUP(__xlnm._FilterDatabase_156[[#This Row],[SAPSA Number]],Table1[SAPSA number],Table1[Name])</f>
        <v>Johan</v>
      </c>
      <c r="E11" s="39" t="str">
        <f>_xlfn.XLOOKUP(__xlnm._FilterDatabase_156[[#This Row],[SAPSA Number]],Table1[SAPSA number],Table1[Surname])</f>
        <v>Jacobs</v>
      </c>
      <c r="F11" s="28" t="str">
        <f>_xlfn.XLOOKUP(__xlnm._FilterDatabase_156[[#This Row],[SAPSA Number]],Table1[SAPSA number],Table1[Initials])</f>
        <v>J</v>
      </c>
      <c r="G11" s="17" t="str">
        <f ca="1">_xlfn.XLOOKUP(__xlnm._FilterDatabase_156[[#This Row],[SAPSA Number]],Table1[SAPSA number],Table1[Gender])</f>
        <v xml:space="preserve"> </v>
      </c>
      <c r="H11" s="19">
        <f ca="1">_xlfn.XLOOKUP(__xlnm._FilterDatabase_1[[#This Row],[SAPSA Number]],Table1[SAPSA number],Table1[Age])</f>
        <v>81</v>
      </c>
      <c r="I11" s="19" t="s">
        <v>244</v>
      </c>
      <c r="J11" s="21">
        <f t="shared" si="1"/>
        <v>2</v>
      </c>
      <c r="K11" s="22">
        <f t="shared" si="2"/>
        <v>10.442920000000001</v>
      </c>
      <c r="L11" s="23">
        <v>0</v>
      </c>
      <c r="M11" s="24">
        <v>26.773199999999999</v>
      </c>
      <c r="N11" s="23">
        <v>25.441400000000002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0"/>
        <v>13</v>
      </c>
      <c r="B12" s="25">
        <v>6966</v>
      </c>
      <c r="C12" s="25" t="str">
        <f>_xlfn.XLOOKUP(__xlnm._FilterDatabase_156[[#This Row],[SAPSA Number]],Table1[SAPSA number],Table1[Paid up])</f>
        <v>Y</v>
      </c>
      <c r="D12" s="19" t="str">
        <f>_xlfn.XLOOKUP(__xlnm._FilterDatabase_156[[#This Row],[SAPSA Number]],Table1[SAPSA number],Table1[Name])</f>
        <v>James</v>
      </c>
      <c r="E12" s="39" t="str">
        <f>_xlfn.XLOOKUP(__xlnm._FilterDatabase_156[[#This Row],[SAPSA Number]],Table1[SAPSA number],Table1[Surname])</f>
        <v>Masonganye</v>
      </c>
      <c r="F12" s="28" t="str">
        <f>_xlfn.XLOOKUP(__xlnm._FilterDatabase_156[[#This Row],[SAPSA Number]],Table1[SAPSA number],Table1[Initials])</f>
        <v>J</v>
      </c>
      <c r="G12" s="17" t="str">
        <f ca="1">_xlfn.XLOOKUP(__xlnm._FilterDatabase_156[[#This Row],[SAPSA Number]],Table1[SAPSA number],Table1[Gender])</f>
        <v>S</v>
      </c>
      <c r="H12" s="19">
        <f>_xlfn.XLOOKUP(__xlnm._FilterDatabase_1[[#This Row],[SAPSA Number]],Table1[SAPSA number],Table1[Age])</f>
        <v>0</v>
      </c>
      <c r="I12" s="19" t="s">
        <v>244</v>
      </c>
      <c r="J12" s="21">
        <f t="shared" si="1"/>
        <v>1</v>
      </c>
      <c r="K12" s="22">
        <f t="shared" si="2"/>
        <v>1.1044</v>
      </c>
      <c r="L12" s="23">
        <v>0</v>
      </c>
      <c r="M12" s="24">
        <v>0</v>
      </c>
      <c r="N12" s="23">
        <v>5.5220000000000002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hidden="1" customHeight="1" x14ac:dyDescent="0.3">
      <c r="A13" s="17">
        <f t="shared" si="0"/>
        <v>14</v>
      </c>
      <c r="B13" s="25">
        <v>7328</v>
      </c>
      <c r="C13" s="25" t="str">
        <f>_xlfn.XLOOKUP(__xlnm._FilterDatabase_156[[#This Row],[SAPSA Number]],Table1[SAPSA number],Table1[Paid up])</f>
        <v>Y</v>
      </c>
      <c r="D13" s="19" t="str">
        <f>_xlfn.XLOOKUP(__xlnm._FilterDatabase_156[[#This Row],[SAPSA Number]],Table1[SAPSA number],Table1[Name])</f>
        <v>Sizwe</v>
      </c>
      <c r="E13" s="39" t="str">
        <f>_xlfn.XLOOKUP(__xlnm._FilterDatabase_156[[#This Row],[SAPSA Number]],Table1[SAPSA number],Table1[Surname])</f>
        <v>Hlongwane</v>
      </c>
      <c r="F13" s="28" t="str">
        <f>_xlfn.XLOOKUP(__xlnm._FilterDatabase_156[[#This Row],[SAPSA Number]],Table1[SAPSA number],Table1[Initials])</f>
        <v>S</v>
      </c>
      <c r="G13" s="17" t="str">
        <f ca="1">_xlfn.XLOOKUP(__xlnm._FilterDatabase_156[[#This Row],[SAPSA Number]],Table1[SAPSA number],Table1[Gender])</f>
        <v xml:space="preserve"> </v>
      </c>
      <c r="H13" s="19">
        <f ca="1">_xlfn.XLOOKUP(__xlnm._FilterDatabase_1[[#This Row],[SAPSA Number]],Table1[SAPSA number],Table1[Age])</f>
        <v>44</v>
      </c>
      <c r="I13" s="19" t="s">
        <v>244</v>
      </c>
      <c r="J13" s="21">
        <f t="shared" si="1"/>
        <v>1</v>
      </c>
      <c r="K13" s="22">
        <f t="shared" si="2"/>
        <v>0.34331999999999996</v>
      </c>
      <c r="L13" s="23">
        <v>0</v>
      </c>
      <c r="M13" s="24">
        <v>1.7165999999999999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hidden="1" customHeight="1" x14ac:dyDescent="0.3">
      <c r="A14" s="17">
        <f t="shared" si="0"/>
        <v>15</v>
      </c>
      <c r="B14" s="25">
        <v>1471</v>
      </c>
      <c r="C14" s="25" t="str">
        <f>_xlfn.XLOOKUP(__xlnm._FilterDatabase_156[[#This Row],[SAPSA Number]],Table1[SAPSA number],Table1[Paid up])</f>
        <v>Y</v>
      </c>
      <c r="D14" s="19" t="str">
        <f>_xlfn.XLOOKUP(__xlnm._FilterDatabase_156[[#This Row],[SAPSA Number]],Table1[SAPSA number],Table1[Name])</f>
        <v>Nikolaus Phillip Karl</v>
      </c>
      <c r="E14" s="39" t="str">
        <f>_xlfn.XLOOKUP(__xlnm._FilterDatabase_156[[#This Row],[SAPSA Number]],Table1[SAPSA number],Table1[Surname])</f>
        <v>Bernhard</v>
      </c>
      <c r="F14" s="28" t="str">
        <f>_xlfn.XLOOKUP(__xlnm._FilterDatabase_156[[#This Row],[SAPSA Number]],Table1[SAPSA number],Table1[Initials])</f>
        <v>NPK</v>
      </c>
      <c r="G14" s="17" t="str">
        <f ca="1">_xlfn.XLOOKUP(__xlnm._FilterDatabase_156[[#This Row],[SAPSA Number]],Table1[SAPSA number],Table1[Gender])</f>
        <v xml:space="preserve"> </v>
      </c>
      <c r="H14" s="19">
        <f ca="1">_xlfn.XLOOKUP(__xlnm._FilterDatabase_1[[#This Row],[SAPSA Number]],Table1[SAPSA number],Table1[Age])</f>
        <v>43</v>
      </c>
      <c r="I14" s="19" t="s">
        <v>244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0"/>
        <v>15</v>
      </c>
      <c r="B15" s="25">
        <v>4624</v>
      </c>
      <c r="C15" s="25" t="str">
        <f>_xlfn.XLOOKUP(__xlnm._FilterDatabase_156[[#This Row],[SAPSA Number]],Table1[SAPSA number],Table1[Paid up])</f>
        <v>Y</v>
      </c>
      <c r="D15" s="19" t="str">
        <f>_xlfn.XLOOKUP(__xlnm._FilterDatabase_156[[#This Row],[SAPSA Number]],Table1[SAPSA number],Table1[Name])</f>
        <v>Stephanus Christiaan</v>
      </c>
      <c r="E15" s="39" t="str">
        <f>_xlfn.XLOOKUP(__xlnm._FilterDatabase_156[[#This Row],[SAPSA Number]],Table1[SAPSA number],Table1[Surname])</f>
        <v>Bester</v>
      </c>
      <c r="F15" s="28" t="str">
        <f>_xlfn.XLOOKUP(__xlnm._FilterDatabase_156[[#This Row],[SAPSA Number]],Table1[SAPSA number],Table1[Initials])</f>
        <v>SC</v>
      </c>
      <c r="G15" s="17" t="str">
        <f ca="1">_xlfn.XLOOKUP(__xlnm._FilterDatabase_156[[#This Row],[SAPSA Number]],Table1[SAPSA number],Table1[Gender])</f>
        <v>S</v>
      </c>
      <c r="H15" s="19">
        <f ca="1">_xlfn.XLOOKUP(__xlnm._FilterDatabase_1[[#This Row],[SAPSA Number]],Table1[SAPSA number],Table1[Age])</f>
        <v>57</v>
      </c>
      <c r="I15" s="19" t="s">
        <v>244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hidden="1" customHeight="1" x14ac:dyDescent="0.3">
      <c r="A16" s="17">
        <f t="shared" si="0"/>
        <v>15</v>
      </c>
      <c r="B16" s="25">
        <v>7431</v>
      </c>
      <c r="C16" s="25">
        <f>_xlfn.XLOOKUP(__xlnm._FilterDatabase_156[[#This Row],[SAPSA Number]],Table1[SAPSA number],Table1[Paid up])</f>
        <v>0</v>
      </c>
      <c r="D16" s="19" t="str">
        <f>_xlfn.XLOOKUP(__xlnm._FilterDatabase_156[[#This Row],[SAPSA Number]],Table1[SAPSA number],Table1[Name])</f>
        <v>Anton</v>
      </c>
      <c r="E16" s="39" t="str">
        <f>_xlfn.XLOOKUP(__xlnm._FilterDatabase_156[[#This Row],[SAPSA Number]],Table1[SAPSA number],Table1[Surname])</f>
        <v>Booyse</v>
      </c>
      <c r="F16" s="28" t="str">
        <f>_xlfn.XLOOKUP(__xlnm._FilterDatabase_156[[#This Row],[SAPSA Number]],Table1[SAPSA number],Table1[Initials])</f>
        <v>A</v>
      </c>
      <c r="G16" s="17">
        <f>_xlfn.XLOOKUP(__xlnm._FilterDatabase_156[[#This Row],[SAPSA Number]],Table1[SAPSA number],Table1[Gender])</f>
        <v>0</v>
      </c>
      <c r="H16" s="19">
        <f ca="1">_xlfn.XLOOKUP(__xlnm._FilterDatabase_1[[#This Row],[SAPSA Number]],Table1[SAPSA number],Table1[Age])</f>
        <v>53</v>
      </c>
      <c r="I16" s="19" t="s">
        <v>244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0"/>
        <v>15</v>
      </c>
      <c r="B17" s="18">
        <v>3349</v>
      </c>
      <c r="C17" s="100">
        <f>_xlfn.XLOOKUP(__xlnm._FilterDatabase_156[[#This Row],[SAPSA Number]],Table1[SAPSA number],Table1[Paid up])</f>
        <v>0</v>
      </c>
      <c r="D17" s="19" t="str">
        <f>_xlfn.XLOOKUP(__xlnm._FilterDatabase_156[[#This Row],[SAPSA Number]],Table1[SAPSA number],Table1[Name])</f>
        <v>Stefanus Christiaan</v>
      </c>
      <c r="E17" s="39" t="str">
        <f>_xlfn.XLOOKUP(__xlnm._FilterDatabase_156[[#This Row],[SAPSA Number]],Table1[SAPSA number],Table1[Surname])</f>
        <v>Bosch</v>
      </c>
      <c r="F17" s="28" t="str">
        <f>_xlfn.XLOOKUP(__xlnm._FilterDatabase_156[[#This Row],[SAPSA Number]],Table1[SAPSA number],Table1[Initials])</f>
        <v>SC</v>
      </c>
      <c r="G17" s="17" t="str">
        <f ca="1">_xlfn.XLOOKUP(__xlnm._FilterDatabase_156[[#This Row],[SAPSA Number]],Table1[SAPSA number],Table1[Gender])</f>
        <v>S</v>
      </c>
      <c r="H17" s="19">
        <f ca="1">_xlfn.XLOOKUP(__xlnm._FilterDatabase_1[[#This Row],[SAPSA Number]],Table1[SAPSA number],Table1[Age])</f>
        <v>63</v>
      </c>
      <c r="I17" s="19" t="s">
        <v>244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>RANK(K18,K$2:K$154,0)</f>
        <v>15</v>
      </c>
      <c r="B18" s="18">
        <v>4621</v>
      </c>
      <c r="C18" s="100">
        <f>_xlfn.XLOOKUP(__xlnm._FilterDatabase_156[[#This Row],[SAPSA Number]],Table1[SAPSA number],Table1[Paid up])</f>
        <v>0</v>
      </c>
      <c r="D18" s="19" t="str">
        <f>_xlfn.XLOOKUP(__xlnm._FilterDatabase_156[[#This Row],[SAPSA Number]],Table1[SAPSA number],Table1[Name])</f>
        <v>Colin</v>
      </c>
      <c r="E18" s="39" t="str">
        <f>_xlfn.XLOOKUP(__xlnm._FilterDatabase_156[[#This Row],[SAPSA Number]],Table1[SAPSA number],Table1[Surname])</f>
        <v>Bowring</v>
      </c>
      <c r="F18" s="28" t="str">
        <f>_xlfn.XLOOKUP(__xlnm._FilterDatabase_156[[#This Row],[SAPSA Number]],Table1[SAPSA number],Table1[Initials])</f>
        <v>C</v>
      </c>
      <c r="G18" s="17" t="str">
        <f ca="1">_xlfn.XLOOKUP(__xlnm._FilterDatabase_156[[#This Row],[SAPSA Number]],Table1[SAPSA number],Table1[Gender])</f>
        <v>SS</v>
      </c>
      <c r="H18" s="19">
        <f ca="1">_xlfn.XLOOKUP(__xlnm._FilterDatabase_1[[#This Row],[SAPSA Number]],Table1[SAPSA number],Table1[Age])</f>
        <v>54</v>
      </c>
      <c r="I18" s="19" t="s">
        <v>244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ref="A19:A50" si="3">RANK(K19,K$2:K$135,0)</f>
        <v>15</v>
      </c>
      <c r="B19" s="18">
        <v>3338</v>
      </c>
      <c r="C19" s="100">
        <f>_xlfn.XLOOKUP(__xlnm._FilterDatabase_156[[#This Row],[SAPSA Number]],Table1[SAPSA number],Table1[Paid up])</f>
        <v>0</v>
      </c>
      <c r="D19" s="19" t="str">
        <f>_xlfn.XLOOKUP(__xlnm._FilterDatabase_156[[#This Row],[SAPSA Number]],Table1[SAPSA number],Table1[Name])</f>
        <v>Carl Johann</v>
      </c>
      <c r="E19" s="39" t="str">
        <f>_xlfn.XLOOKUP(__xlnm._FilterDatabase_156[[#This Row],[SAPSA Number]],Table1[SAPSA number],Table1[Surname])</f>
        <v>Brandt</v>
      </c>
      <c r="F19" s="28" t="str">
        <f>_xlfn.XLOOKUP(__xlnm._FilterDatabase_156[[#This Row],[SAPSA Number]],Table1[SAPSA number],Table1[Initials])</f>
        <v>CJ</v>
      </c>
      <c r="G19" s="17" t="str">
        <f ca="1">_xlfn.XLOOKUP(__xlnm._FilterDatabase_156[[#This Row],[SAPSA Number]],Table1[SAPSA number],Table1[Gender])</f>
        <v>S</v>
      </c>
      <c r="H19" s="19">
        <f ca="1">_xlfn.XLOOKUP(__xlnm._FilterDatabase_1[[#This Row],[SAPSA Number]],Table1[SAPSA number],Table1[Age])</f>
        <v>51</v>
      </c>
      <c r="I19" s="19" t="s">
        <v>244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3"/>
        <v>15</v>
      </c>
      <c r="B20" s="25">
        <v>3350</v>
      </c>
      <c r="C20" s="25">
        <f>_xlfn.XLOOKUP(__xlnm._FilterDatabase_156[[#This Row],[SAPSA Number]],Table1[SAPSA number],Table1[Paid up])</f>
        <v>0</v>
      </c>
      <c r="D20" s="19" t="str">
        <f>_xlfn.XLOOKUP(__xlnm._FilterDatabase_156[[#This Row],[SAPSA Number]],Table1[SAPSA number],Table1[Name])</f>
        <v>Conrad Ernest</v>
      </c>
      <c r="E20" s="39" t="str">
        <f>_xlfn.XLOOKUP(__xlnm._FilterDatabase_156[[#This Row],[SAPSA Number]],Table1[SAPSA number],Table1[Surname])</f>
        <v>Brandt</v>
      </c>
      <c r="F20" s="28" t="str">
        <f>_xlfn.XLOOKUP(__xlnm._FilterDatabase_156[[#This Row],[SAPSA Number]],Table1[SAPSA number],Table1[Initials])</f>
        <v>CE</v>
      </c>
      <c r="G20" s="17" t="str">
        <f ca="1">_xlfn.XLOOKUP(__xlnm._FilterDatabase_156[[#This Row],[SAPSA Number]],Table1[SAPSA number],Table1[Gender])</f>
        <v>S</v>
      </c>
      <c r="H20" s="19">
        <f ca="1">_xlfn.XLOOKUP(__xlnm._FilterDatabase_1[[#This Row],[SAPSA Number]],Table1[SAPSA number],Table1[Age])</f>
        <v>47</v>
      </c>
      <c r="I20" s="19" t="s">
        <v>244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hidden="1" customHeight="1" x14ac:dyDescent="0.3">
      <c r="A21" s="17">
        <f t="shared" si="3"/>
        <v>15</v>
      </c>
      <c r="B21" s="25">
        <v>3576</v>
      </c>
      <c r="C21" s="25" t="str">
        <f>_xlfn.XLOOKUP(__xlnm._FilterDatabase_156[[#This Row],[SAPSA Number]],Table1[SAPSA number],Table1[Paid up])</f>
        <v>Y</v>
      </c>
      <c r="D21" s="19" t="str">
        <f>_xlfn.XLOOKUP(__xlnm._FilterDatabase_156[[#This Row],[SAPSA Number]],Table1[SAPSA number],Table1[Name])</f>
        <v>Christoff Mechiel</v>
      </c>
      <c r="E21" s="39" t="str">
        <f>_xlfn.XLOOKUP(__xlnm._FilterDatabase_156[[#This Row],[SAPSA Number]],Table1[SAPSA number],Table1[Surname])</f>
        <v>Brandt</v>
      </c>
      <c r="F21" s="28" t="str">
        <f>_xlfn.XLOOKUP(__xlnm._FilterDatabase_156[[#This Row],[SAPSA Number]],Table1[SAPSA number],Table1[Initials])</f>
        <v>CM</v>
      </c>
      <c r="G21" s="17" t="str">
        <f ca="1">_xlfn.XLOOKUP(__xlnm._FilterDatabase_156[[#This Row],[SAPSA Number]],Table1[SAPSA number],Table1[Gender])</f>
        <v xml:space="preserve"> </v>
      </c>
      <c r="H21" s="19">
        <f ca="1">_xlfn.XLOOKUP(__xlnm._FilterDatabase_1[[#This Row],[SAPSA Number]],Table1[SAPSA number],Table1[Age])</f>
        <v>41</v>
      </c>
      <c r="I21" s="19" t="s">
        <v>244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3"/>
        <v>15</v>
      </c>
      <c r="B22" s="25">
        <v>259</v>
      </c>
      <c r="C22" s="25" t="str">
        <f>_xlfn.XLOOKUP(__xlnm._FilterDatabase_156[[#This Row],[SAPSA Number]],Table1[SAPSA number],Table1[Paid up])</f>
        <v>Y</v>
      </c>
      <c r="D22" s="19" t="str">
        <f>_xlfn.XLOOKUP(__xlnm._FilterDatabase_156[[#This Row],[SAPSA Number]],Table1[SAPSA number],Table1[Name])</f>
        <v>Kathleen Beresford</v>
      </c>
      <c r="E22" s="39" t="str">
        <f>_xlfn.XLOOKUP(__xlnm._FilterDatabase_156[[#This Row],[SAPSA Number]],Table1[SAPSA number],Table1[Surname])</f>
        <v>Carter</v>
      </c>
      <c r="F22" s="28" t="str">
        <f>_xlfn.XLOOKUP(__xlnm._FilterDatabase_156[[#This Row],[SAPSA Number]],Table1[SAPSA number],Table1[Initials])</f>
        <v>KB</v>
      </c>
      <c r="G22" s="17" t="str">
        <f>_xlfn.XLOOKUP(__xlnm._FilterDatabase_156[[#This Row],[SAPSA Number]],Table1[SAPSA number],Table1[Gender])</f>
        <v>Lady</v>
      </c>
      <c r="H22" s="19">
        <f ca="1">_xlfn.XLOOKUP(__xlnm._FilterDatabase_1[[#This Row],[SAPSA Number]],Table1[SAPSA number],Table1[Age])</f>
        <v>39</v>
      </c>
      <c r="I22" s="19" t="s">
        <v>244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3"/>
        <v>10</v>
      </c>
      <c r="B23" s="25">
        <v>4316</v>
      </c>
      <c r="C23" s="25" t="str">
        <f>_xlfn.XLOOKUP(__xlnm._FilterDatabase_156[[#This Row],[SAPSA Number]],Table1[SAPSA number],Table1[Paid up])</f>
        <v>Y</v>
      </c>
      <c r="D23" s="19" t="str">
        <f>_xlfn.XLOOKUP(__xlnm._FilterDatabase_156[[#This Row],[SAPSA Number]],Table1[SAPSA number],Table1[Name])</f>
        <v>Wilhelm Jacobus</v>
      </c>
      <c r="E23" s="39" t="str">
        <f>_xlfn.XLOOKUP(__xlnm._FilterDatabase_156[[#This Row],[SAPSA Number]],Table1[SAPSA number],Table1[Surname])</f>
        <v>Coetzee</v>
      </c>
      <c r="F23" s="28" t="str">
        <f>_xlfn.XLOOKUP(__xlnm._FilterDatabase_156[[#This Row],[SAPSA Number]],Table1[SAPSA number],Table1[Initials])</f>
        <v>WJ</v>
      </c>
      <c r="G23" s="17" t="str">
        <f ca="1">_xlfn.XLOOKUP(__xlnm._FilterDatabase_156[[#This Row],[SAPSA Number]],Table1[SAPSA number],Table1[Gender])</f>
        <v>S</v>
      </c>
      <c r="H23" s="19">
        <f ca="1">_xlfn.XLOOKUP(__xlnm._FilterDatabase_1[[#This Row],[SAPSA Number]],Table1[SAPSA number],Table1[Age])</f>
        <v>55</v>
      </c>
      <c r="I23" s="19" t="s">
        <v>244</v>
      </c>
      <c r="J23" s="21">
        <f t="shared" si="1"/>
        <v>1</v>
      </c>
      <c r="K23" s="22">
        <f t="shared" si="2"/>
        <v>14.2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71</v>
      </c>
    </row>
    <row r="24" spans="1:23" ht="14.4" hidden="1" customHeight="1" x14ac:dyDescent="0.3">
      <c r="A24" s="17">
        <f t="shared" si="3"/>
        <v>15</v>
      </c>
      <c r="B24" s="25">
        <v>591</v>
      </c>
      <c r="C24" s="25" t="str">
        <f>_xlfn.XLOOKUP(__xlnm._FilterDatabase_156[[#This Row],[SAPSA Number]],Table1[SAPSA number],Table1[Paid up])</f>
        <v>Y</v>
      </c>
      <c r="D24" s="19" t="str">
        <f>_xlfn.XLOOKUP(__xlnm._FilterDatabase_156[[#This Row],[SAPSA Number]],Table1[SAPSA number],Table1[Name])</f>
        <v>Enrico</v>
      </c>
      <c r="E24" s="39" t="str">
        <f>_xlfn.XLOOKUP(__xlnm._FilterDatabase_156[[#This Row],[SAPSA Number]],Table1[SAPSA number],Table1[Surname])</f>
        <v>Cupido</v>
      </c>
      <c r="F24" s="28" t="str">
        <f>_xlfn.XLOOKUP(__xlnm._FilterDatabase_156[[#This Row],[SAPSA Number]],Table1[SAPSA number],Table1[Initials])</f>
        <v>E</v>
      </c>
      <c r="G24" s="17" t="str">
        <f ca="1">_xlfn.XLOOKUP(__xlnm._FilterDatabase_156[[#This Row],[SAPSA Number]],Table1[SAPSA number],Table1[Gender])</f>
        <v>GS</v>
      </c>
      <c r="H24" s="19">
        <f ca="1">_xlfn.XLOOKUP(__xlnm._FilterDatabase_1[[#This Row],[SAPSA Number]],Table1[SAPSA number],Table1[Age])</f>
        <v>75</v>
      </c>
      <c r="I24" s="19" t="s">
        <v>244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hidden="1" customHeight="1" x14ac:dyDescent="0.3">
      <c r="A25" s="17">
        <f t="shared" si="3"/>
        <v>15</v>
      </c>
      <c r="B25" s="25">
        <v>601</v>
      </c>
      <c r="C25" s="25" t="str">
        <f>_xlfn.XLOOKUP(__xlnm._FilterDatabase_156[[#This Row],[SAPSA Number]],Table1[SAPSA number],Table1[Paid up])</f>
        <v>Y</v>
      </c>
      <c r="D25" s="19" t="str">
        <f>_xlfn.XLOOKUP(__xlnm._FilterDatabase_156[[#This Row],[SAPSA Number]],Table1[SAPSA number],Table1[Name])</f>
        <v>Piero</v>
      </c>
      <c r="E25" s="39" t="str">
        <f>_xlfn.XLOOKUP(__xlnm._FilterDatabase_156[[#This Row],[SAPSA Number]],Table1[SAPSA number],Table1[Surname])</f>
        <v>Cupido</v>
      </c>
      <c r="F25" s="28" t="str">
        <f>_xlfn.XLOOKUP(__xlnm._FilterDatabase_156[[#This Row],[SAPSA Number]],Table1[SAPSA number],Table1[Initials])</f>
        <v>P</v>
      </c>
      <c r="G25" s="17" t="str">
        <f ca="1">_xlfn.XLOOKUP(__xlnm._FilterDatabase_156[[#This Row],[SAPSA Number]],Table1[SAPSA number],Table1[Gender])</f>
        <v xml:space="preserve"> </v>
      </c>
      <c r="H25" s="19">
        <f ca="1">_xlfn.XLOOKUP(__xlnm._FilterDatabase_1[[#This Row],[SAPSA Number]],Table1[SAPSA number],Table1[Age])</f>
        <v>47</v>
      </c>
      <c r="I25" s="19" t="s">
        <v>244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3"/>
        <v>15</v>
      </c>
      <c r="B26" s="25">
        <v>288</v>
      </c>
      <c r="C26" s="100" t="str">
        <f>_xlfn.XLOOKUP(__xlnm._FilterDatabase_156[[#This Row],[SAPSA Number]],Table1[SAPSA number],Table1[Paid up])</f>
        <v>Y</v>
      </c>
      <c r="D26" s="19" t="str">
        <f>_xlfn.XLOOKUP(__xlnm._FilterDatabase_156[[#This Row],[SAPSA Number]],Table1[SAPSA number],Table1[Name])</f>
        <v>Feroz</v>
      </c>
      <c r="E26" s="39" t="str">
        <f>_xlfn.XLOOKUP(__xlnm._FilterDatabase_156[[#This Row],[SAPSA Number]],Table1[SAPSA number],Table1[Surname])</f>
        <v>Daya</v>
      </c>
      <c r="F26" s="28" t="str">
        <f>_xlfn.XLOOKUP(__xlnm._FilterDatabase_156[[#This Row],[SAPSA Number]],Table1[SAPSA number],Table1[Initials])</f>
        <v>F</v>
      </c>
      <c r="G26" s="17" t="str">
        <f ca="1">_xlfn.XLOOKUP(__xlnm._FilterDatabase_156[[#This Row],[SAPSA Number]],Table1[SAPSA number],Table1[Gender])</f>
        <v>S</v>
      </c>
      <c r="H26" s="19">
        <f ca="1">_xlfn.XLOOKUP(__xlnm._FilterDatabase_1[[#This Row],[SAPSA Number]],Table1[SAPSA number],Table1[Age])</f>
        <v>53</v>
      </c>
      <c r="I26" s="19" t="s">
        <v>244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3"/>
        <v>15</v>
      </c>
      <c r="B27" s="25">
        <v>392</v>
      </c>
      <c r="C27" s="25" t="str">
        <f>_xlfn.XLOOKUP(__xlnm._FilterDatabase_156[[#This Row],[SAPSA Number]],Table1[SAPSA number],Table1[Paid up])</f>
        <v>Y</v>
      </c>
      <c r="D27" s="19" t="str">
        <f>_xlfn.XLOOKUP(__xlnm._FilterDatabase_156[[#This Row],[SAPSA Number]],Table1[SAPSA number],Table1[Name])</f>
        <v>Sasha-Lee</v>
      </c>
      <c r="E27" s="39" t="str">
        <f>_xlfn.XLOOKUP(__xlnm._FilterDatabase_156[[#This Row],[SAPSA Number]],Table1[SAPSA number],Table1[Surname])</f>
        <v>Du Plessis</v>
      </c>
      <c r="F27" s="28" t="str">
        <f>_xlfn.XLOOKUP(__xlnm._FilterDatabase_156[[#This Row],[SAPSA Number]],Table1[SAPSA number],Table1[Initials])</f>
        <v>SL</v>
      </c>
      <c r="G27" s="17" t="str">
        <f>_xlfn.XLOOKUP(__xlnm._FilterDatabase_156[[#This Row],[SAPSA Number]],Table1[SAPSA number],Table1[Gender])</f>
        <v>Lady</v>
      </c>
      <c r="H27" s="19">
        <f ca="1">_xlfn.XLOOKUP(__xlnm._FilterDatabase_1[[#This Row],[SAPSA Number]],Table1[SAPSA number],Table1[Age])</f>
        <v>42</v>
      </c>
      <c r="I27" s="19" t="s">
        <v>244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3"/>
        <v>15</v>
      </c>
      <c r="B28" s="18">
        <v>127</v>
      </c>
      <c r="C28" s="100" t="str">
        <f>_xlfn.XLOOKUP(__xlnm._FilterDatabase_156[[#This Row],[SAPSA Number]],Table1[SAPSA number],Table1[Paid up])</f>
        <v>Y</v>
      </c>
      <c r="D28" s="19" t="str">
        <f>_xlfn.XLOOKUP(__xlnm._FilterDatabase_156[[#This Row],[SAPSA Number]],Table1[SAPSA number],Table1[Name])</f>
        <v>Eurika Susara</v>
      </c>
      <c r="E28" s="39" t="str">
        <f>_xlfn.XLOOKUP(__xlnm._FilterDatabase_156[[#This Row],[SAPSA Number]],Table1[SAPSA number],Table1[Surname])</f>
        <v>Du Plooy</v>
      </c>
      <c r="F28" s="28" t="str">
        <f>_xlfn.XLOOKUP(__xlnm._FilterDatabase_156[[#This Row],[SAPSA Number]],Table1[SAPSA number],Table1[Initials])</f>
        <v>E</v>
      </c>
      <c r="G28" s="17" t="str">
        <f>_xlfn.XLOOKUP(__xlnm._FilterDatabase_156[[#This Row],[SAPSA Number]],Table1[SAPSA number],Table1[Gender])</f>
        <v>SS</v>
      </c>
      <c r="H28" s="19">
        <f ca="1">_xlfn.XLOOKUP(__xlnm._FilterDatabase_1[[#This Row],[SAPSA Number]],Table1[SAPSA number],Table1[Age])</f>
        <v>32</v>
      </c>
      <c r="I28" s="19" t="s">
        <v>244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3"/>
        <v>15</v>
      </c>
      <c r="B29" s="25">
        <v>3172</v>
      </c>
      <c r="C29" s="25" t="str">
        <f>_xlfn.XLOOKUP(__xlnm._FilterDatabase_156[[#This Row],[SAPSA Number]],Table1[SAPSA number],Table1[Paid up])</f>
        <v>Y</v>
      </c>
      <c r="D29" s="19" t="str">
        <f>_xlfn.XLOOKUP(__xlnm._FilterDatabase_156[[#This Row],[SAPSA Number]],Table1[SAPSA number],Table1[Name])</f>
        <v>Mervyn-John</v>
      </c>
      <c r="E29" s="39" t="str">
        <f>_xlfn.XLOOKUP(__xlnm._FilterDatabase_156[[#This Row],[SAPSA Number]],Table1[SAPSA number],Table1[Surname])</f>
        <v>Evans</v>
      </c>
      <c r="F29" s="28" t="str">
        <f>_xlfn.XLOOKUP(__xlnm._FilterDatabase_156[[#This Row],[SAPSA Number]],Table1[SAPSA number],Table1[Initials])</f>
        <v>MJ</v>
      </c>
      <c r="G29" s="17" t="str">
        <f ca="1">_xlfn.XLOOKUP(__xlnm._FilterDatabase_156[[#This Row],[SAPSA Number]],Table1[SAPSA number],Table1[Gender])</f>
        <v>SS</v>
      </c>
      <c r="H29" s="19">
        <f ca="1">_xlfn.XLOOKUP(__xlnm._FilterDatabase_1[[#This Row],[SAPSA Number]],Table1[SAPSA number],Table1[Age])</f>
        <v>60</v>
      </c>
      <c r="I29" s="19" t="s">
        <v>244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hidden="1" customHeight="1" x14ac:dyDescent="0.3">
      <c r="A30" s="17">
        <f t="shared" si="3"/>
        <v>15</v>
      </c>
      <c r="B30" s="25">
        <v>3173</v>
      </c>
      <c r="C30" s="25" t="str">
        <f>_xlfn.XLOOKUP(__xlnm._FilterDatabase_156[[#This Row],[SAPSA Number]],Table1[SAPSA number],Table1[Paid up])</f>
        <v>Y</v>
      </c>
      <c r="D30" s="19" t="str">
        <f>_xlfn.XLOOKUP(__xlnm._FilterDatabase_156[[#This Row],[SAPSA Number]],Table1[SAPSA number],Table1[Name])</f>
        <v>Garrett-John</v>
      </c>
      <c r="E30" s="39" t="str">
        <f>_xlfn.XLOOKUP(__xlnm._FilterDatabase_156[[#This Row],[SAPSA Number]],Table1[SAPSA number],Table1[Surname])</f>
        <v>Evans</v>
      </c>
      <c r="F30" s="28" t="str">
        <f>_xlfn.XLOOKUP(__xlnm._FilterDatabase_156[[#This Row],[SAPSA Number]],Table1[SAPSA number],Table1[Initials])</f>
        <v>G-J</v>
      </c>
      <c r="G30" s="17" t="str">
        <f ca="1">_xlfn.XLOOKUP(__xlnm._FilterDatabase_156[[#This Row],[SAPSA Number]],Table1[SAPSA number],Table1[Gender])</f>
        <v xml:space="preserve"> </v>
      </c>
      <c r="H30" s="19">
        <f ca="1">_xlfn.XLOOKUP(__xlnm._FilterDatabase_1[[#This Row],[SAPSA Number]],Table1[SAPSA number],Table1[Age])</f>
        <v>32</v>
      </c>
      <c r="I30" s="19" t="s">
        <v>244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15</v>
      </c>
      <c r="B31" s="25">
        <v>7434</v>
      </c>
      <c r="C31" s="26">
        <f>_xlfn.XLOOKUP(__xlnm._FilterDatabase_156[[#This Row],[SAPSA Number]],Table1[SAPSA number],Table1[Paid up])</f>
        <v>0</v>
      </c>
      <c r="D31" s="19" t="str">
        <f>_xlfn.XLOOKUP(__xlnm._FilterDatabase_156[[#This Row],[SAPSA Number]],Table1[SAPSA number],Table1[Name])</f>
        <v>Shannon Kimberley</v>
      </c>
      <c r="E31" s="39" t="str">
        <f>_xlfn.XLOOKUP(__xlnm._FilterDatabase_156[[#This Row],[SAPSA Number]],Table1[SAPSA number],Table1[Surname])</f>
        <v>Gahagan</v>
      </c>
      <c r="F31" s="28" t="str">
        <f>_xlfn.XLOOKUP(__xlnm._FilterDatabase_156[[#This Row],[SAPSA Number]],Table1[SAPSA number],Table1[Initials])</f>
        <v>S</v>
      </c>
      <c r="G31" s="17" t="str">
        <f>_xlfn.XLOOKUP(__xlnm._FilterDatabase_156[[#This Row],[SAPSA Number]],Table1[SAPSA number],Table1[Gender])</f>
        <v>Lady</v>
      </c>
      <c r="H31" s="19">
        <f ca="1">_xlfn.XLOOKUP(__xlnm._FilterDatabase_1[[#This Row],[SAPSA Number]],Table1[SAPSA number],Table1[Age])</f>
        <v>33</v>
      </c>
      <c r="I31" s="19" t="s">
        <v>244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15</v>
      </c>
      <c r="B32" s="25">
        <v>3782</v>
      </c>
      <c r="C32" s="25">
        <f>_xlfn.XLOOKUP(__xlnm._FilterDatabase_156[[#This Row],[SAPSA Number]],Table1[SAPSA number],Table1[Paid up])</f>
        <v>0</v>
      </c>
      <c r="D32" s="19" t="str">
        <f>_xlfn.XLOOKUP(__xlnm._FilterDatabase_156[[#This Row],[SAPSA Number]],Table1[SAPSA number],Table1[Name])</f>
        <v>Gary Athol</v>
      </c>
      <c r="E32" s="39" t="str">
        <f>_xlfn.XLOOKUP(__xlnm._FilterDatabase_156[[#This Row],[SAPSA Number]],Table1[SAPSA number],Table1[Surname])</f>
        <v>Hagemann</v>
      </c>
      <c r="F32" s="28" t="str">
        <f>_xlfn.XLOOKUP(__xlnm._FilterDatabase_156[[#This Row],[SAPSA Number]],Table1[SAPSA number],Table1[Initials])</f>
        <v>GA</v>
      </c>
      <c r="G32" s="17" t="str">
        <f ca="1">_xlfn.XLOOKUP(__xlnm._FilterDatabase_156[[#This Row],[SAPSA Number]],Table1[SAPSA number],Table1[Gender])</f>
        <v>S</v>
      </c>
      <c r="H32" s="19">
        <f ca="1">_xlfn.XLOOKUP(__xlnm._FilterDatabase_1[[#This Row],[SAPSA Number]],Table1[SAPSA number],Table1[Age])</f>
        <v>55</v>
      </c>
      <c r="I32" s="19" t="s">
        <v>244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hidden="1" customHeight="1" x14ac:dyDescent="0.3">
      <c r="A33" s="17">
        <f t="shared" si="3"/>
        <v>15</v>
      </c>
      <c r="B33" s="25">
        <v>6308</v>
      </c>
      <c r="C33" s="25">
        <f>_xlfn.XLOOKUP(__xlnm._FilterDatabase_156[[#This Row],[SAPSA Number]],Table1[SAPSA number],Table1[Paid up])</f>
        <v>0</v>
      </c>
      <c r="D33" s="19" t="str">
        <f>_xlfn.XLOOKUP(__xlnm._FilterDatabase_156[[#This Row],[SAPSA Number]],Table1[SAPSA number],Table1[Name])</f>
        <v>James Matthew</v>
      </c>
      <c r="E33" s="39" t="str">
        <f>_xlfn.XLOOKUP(__xlnm._FilterDatabase_156[[#This Row],[SAPSA Number]],Table1[SAPSA number],Table1[Surname])</f>
        <v>Hagemann</v>
      </c>
      <c r="F33" s="28" t="str">
        <f>_xlfn.XLOOKUP(__xlnm._FilterDatabase_156[[#This Row],[SAPSA Number]],Table1[SAPSA number],Table1[Initials])</f>
        <v>JM</v>
      </c>
      <c r="G33" s="17" t="str">
        <f ca="1">_xlfn.XLOOKUP(__xlnm._FilterDatabase_156[[#This Row],[SAPSA Number]],Table1[SAPSA number],Table1[Gender])</f>
        <v>Jnr</v>
      </c>
      <c r="H33" s="19">
        <f ca="1">_xlfn.XLOOKUP(__xlnm._FilterDatabase_1[[#This Row],[SAPSA Number]],Table1[SAPSA number],Table1[Age])</f>
        <v>20</v>
      </c>
      <c r="I33" s="19" t="s">
        <v>244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hidden="1" customHeight="1" x14ac:dyDescent="0.3">
      <c r="A34" s="17">
        <f t="shared" si="3"/>
        <v>15</v>
      </c>
      <c r="B34" s="25">
        <v>2655</v>
      </c>
      <c r="C34" s="25" t="str">
        <f>_xlfn.XLOOKUP(__xlnm._FilterDatabase_156[[#This Row],[SAPSA Number]],Table1[SAPSA number],Table1[Paid up])</f>
        <v>Y</v>
      </c>
      <c r="D34" s="19" t="str">
        <f>_xlfn.XLOOKUP(__xlnm._FilterDatabase_156[[#This Row],[SAPSA Number]],Table1[SAPSA number],Table1[Name])</f>
        <v>Ruben</v>
      </c>
      <c r="E34" s="39" t="str">
        <f>_xlfn.XLOOKUP(__xlnm._FilterDatabase_156[[#This Row],[SAPSA Number]],Table1[SAPSA number],Table1[Surname])</f>
        <v>Joubert</v>
      </c>
      <c r="F34" s="28" t="str">
        <f>_xlfn.XLOOKUP(__xlnm._FilterDatabase_156[[#This Row],[SAPSA Number]],Table1[SAPSA number],Table1[Initials])</f>
        <v>R</v>
      </c>
      <c r="G34" s="17" t="str">
        <f ca="1">_xlfn.XLOOKUP(__xlnm._FilterDatabase_156[[#This Row],[SAPSA Number]],Table1[SAPSA number],Table1[Gender])</f>
        <v>Jnr</v>
      </c>
      <c r="H34" s="19">
        <f ca="1">_xlfn.XLOOKUP(__xlnm._FilterDatabase_1[[#This Row],[SAPSA Number]],Table1[SAPSA number],Table1[Age])</f>
        <v>46</v>
      </c>
      <c r="I34" s="19" t="s">
        <v>244</v>
      </c>
      <c r="J34" s="21">
        <f t="shared" ref="J34:J70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hidden="1" customHeight="1" x14ac:dyDescent="0.3">
      <c r="A35" s="17">
        <f t="shared" si="3"/>
        <v>15</v>
      </c>
      <c r="B35" s="18">
        <v>4094</v>
      </c>
      <c r="C35" s="101" t="str">
        <f>_xlfn.XLOOKUP(__xlnm._FilterDatabase_156[[#This Row],[SAPSA Number]],Table1[SAPSA number],Table1[Paid up])</f>
        <v>Y</v>
      </c>
      <c r="D35" s="19" t="str">
        <f>_xlfn.XLOOKUP(__xlnm._FilterDatabase_156[[#This Row],[SAPSA Number]],Table1[SAPSA number],Table1[Name])</f>
        <v>Johan</v>
      </c>
      <c r="E35" s="39" t="str">
        <f>_xlfn.XLOOKUP(__xlnm._FilterDatabase_156[[#This Row],[SAPSA Number]],Table1[SAPSA number],Table1[Surname])</f>
        <v>Kemp</v>
      </c>
      <c r="F35" s="28" t="str">
        <f>_xlfn.XLOOKUP(__xlnm._FilterDatabase_156[[#This Row],[SAPSA Number]],Table1[SAPSA number],Table1[Initials])</f>
        <v>J</v>
      </c>
      <c r="G35" s="17" t="str">
        <f ca="1">_xlfn.XLOOKUP(__xlnm._FilterDatabase_156[[#This Row],[SAPSA Number]],Table1[SAPSA number],Table1[Gender])</f>
        <v xml:space="preserve"> </v>
      </c>
      <c r="H35" s="19">
        <f ca="1">_xlfn.XLOOKUP(__xlnm._FilterDatabase_1[[#This Row],[SAPSA Number]],Table1[SAPSA number],Table1[Age])</f>
        <v>18</v>
      </c>
      <c r="I35" s="19" t="s">
        <v>244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hidden="1" customHeight="1" x14ac:dyDescent="0.3">
      <c r="A36" s="17">
        <f t="shared" si="3"/>
        <v>15</v>
      </c>
      <c r="B36" s="25">
        <v>6968</v>
      </c>
      <c r="C36" s="25" t="str">
        <f>_xlfn.XLOOKUP(__xlnm._FilterDatabase_156[[#This Row],[SAPSA Number]],Table1[SAPSA number],Table1[Paid up])</f>
        <v>Y</v>
      </c>
      <c r="D36" s="19" t="str">
        <f>_xlfn.XLOOKUP(__xlnm._FilterDatabase_156[[#This Row],[SAPSA Number]],Table1[SAPSA number],Table1[Name])</f>
        <v>Ian John</v>
      </c>
      <c r="E36" s="39" t="str">
        <f>_xlfn.XLOOKUP(__xlnm._FilterDatabase_156[[#This Row],[SAPSA Number]],Table1[SAPSA number],Table1[Surname])</f>
        <v>Kewley</v>
      </c>
      <c r="F36" s="28" t="str">
        <f>_xlfn.XLOOKUP(__xlnm._FilterDatabase_156[[#This Row],[SAPSA Number]],Table1[SAPSA number],Table1[Initials])</f>
        <v>IJ</v>
      </c>
      <c r="G36" s="17" t="str">
        <f ca="1">_xlfn.XLOOKUP(__xlnm._FilterDatabase_156[[#This Row],[SAPSA Number]],Table1[SAPSA number],Table1[Gender])</f>
        <v xml:space="preserve"> </v>
      </c>
      <c r="H36" s="19">
        <f ca="1">_xlfn.XLOOKUP(__xlnm._FilterDatabase_1[[#This Row],[SAPSA Number]],Table1[SAPSA number],Table1[Age])</f>
        <v>52</v>
      </c>
      <c r="I36" s="19" t="s">
        <v>244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hidden="1" customHeight="1" x14ac:dyDescent="0.3">
      <c r="A37" s="17">
        <f t="shared" si="3"/>
        <v>15</v>
      </c>
      <c r="B37" s="25">
        <v>252</v>
      </c>
      <c r="C37" s="25" t="str">
        <f>_xlfn.XLOOKUP(__xlnm._FilterDatabase_156[[#This Row],[SAPSA Number]],Table1[SAPSA number],Table1[Paid up])</f>
        <v>Y</v>
      </c>
      <c r="D37" s="19" t="str">
        <f>_xlfn.XLOOKUP(__xlnm._FilterDatabase_156[[#This Row],[SAPSA Number]],Table1[SAPSA number],Table1[Name])</f>
        <v>Deon</v>
      </c>
      <c r="E37" s="39" t="str">
        <f>_xlfn.XLOOKUP(__xlnm._FilterDatabase_156[[#This Row],[SAPSA Number]],Table1[SAPSA number],Table1[Surname])</f>
        <v>Labuschagne</v>
      </c>
      <c r="F37" s="28" t="str">
        <f>_xlfn.XLOOKUP(__xlnm._FilterDatabase_156[[#This Row],[SAPSA Number]],Table1[SAPSA number],Table1[Initials])</f>
        <v>D</v>
      </c>
      <c r="G37" s="17" t="str">
        <f ca="1">_xlfn.XLOOKUP(__xlnm._FilterDatabase_156[[#This Row],[SAPSA Number]],Table1[SAPSA number],Table1[Gender])</f>
        <v>GS</v>
      </c>
      <c r="H37" s="19">
        <f ca="1">_xlfn.XLOOKUP(__xlnm._FilterDatabase_1[[#This Row],[SAPSA Number]],Table1[SAPSA number],Table1[Age])</f>
        <v>43</v>
      </c>
      <c r="I37" s="19" t="s">
        <v>244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15</v>
      </c>
      <c r="B38" s="18">
        <v>2651</v>
      </c>
      <c r="C38" s="100" t="str">
        <f>_xlfn.XLOOKUP(__xlnm._FilterDatabase_156[[#This Row],[SAPSA Number]],Table1[SAPSA number],Table1[Paid up])</f>
        <v>Y</v>
      </c>
      <c r="D38" s="19" t="str">
        <f>_xlfn.XLOOKUP(__xlnm._FilterDatabase_156[[#This Row],[SAPSA Number]],Table1[SAPSA number],Table1[Name])</f>
        <v>Paul Herman</v>
      </c>
      <c r="E38" s="39" t="str">
        <f>_xlfn.XLOOKUP(__xlnm._FilterDatabase_156[[#This Row],[SAPSA Number]],Table1[SAPSA number],Table1[Surname])</f>
        <v>Leuschner</v>
      </c>
      <c r="F38" s="28" t="str">
        <f>_xlfn.XLOOKUP(__xlnm._FilterDatabase_156[[#This Row],[SAPSA Number]],Table1[SAPSA number],Table1[Initials])</f>
        <v>PH</v>
      </c>
      <c r="G38" s="17" t="str">
        <f ca="1">_xlfn.XLOOKUP(__xlnm._FilterDatabase_156[[#This Row],[SAPSA Number]],Table1[SAPSA number],Table1[Gender])</f>
        <v>S</v>
      </c>
      <c r="H38" s="19">
        <f ca="1">_xlfn.XLOOKUP(__xlnm._FilterDatabase_1[[#This Row],[SAPSA Number]],Table1[SAPSA number],Table1[Age])</f>
        <v>45</v>
      </c>
      <c r="I38" s="19" t="s">
        <v>244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15</v>
      </c>
      <c r="B39" s="25">
        <v>683</v>
      </c>
      <c r="C39" s="26">
        <f>_xlfn.XLOOKUP(__xlnm._FilterDatabase_156[[#This Row],[SAPSA Number]],Table1[SAPSA number],Table1[Paid up])</f>
        <v>0</v>
      </c>
      <c r="D39" s="19" t="str">
        <f>_xlfn.XLOOKUP(__xlnm._FilterDatabase_156[[#This Row],[SAPSA Number]],Table1[SAPSA number],Table1[Name])</f>
        <v>Ivor</v>
      </c>
      <c r="E39" s="39" t="str">
        <f>_xlfn.XLOOKUP(__xlnm._FilterDatabase_156[[#This Row],[SAPSA Number]],Table1[SAPSA number],Table1[Surname])</f>
        <v>Marais</v>
      </c>
      <c r="F39" s="28" t="str">
        <f>_xlfn.XLOOKUP(__xlnm._FilterDatabase_156[[#This Row],[SAPSA Number]],Table1[SAPSA number],Table1[Initials])</f>
        <v>I</v>
      </c>
      <c r="G39" s="17" t="str">
        <f ca="1">_xlfn.XLOOKUP(__xlnm._FilterDatabase_156[[#This Row],[SAPSA Number]],Table1[SAPSA number],Table1[Gender])</f>
        <v>S</v>
      </c>
      <c r="H39" s="19">
        <f ca="1">_xlfn.XLOOKUP(__xlnm._FilterDatabase_1[[#This Row],[SAPSA Number]],Table1[SAPSA number],Table1[Age])</f>
        <v>60</v>
      </c>
      <c r="I39" s="19" t="s">
        <v>244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15</v>
      </c>
      <c r="B40" s="25">
        <v>851</v>
      </c>
      <c r="C40" s="26" t="str">
        <f>_xlfn.XLOOKUP(__xlnm._FilterDatabase_156[[#This Row],[SAPSA Number]],Table1[SAPSA number],Table1[Paid up])</f>
        <v>Y</v>
      </c>
      <c r="D40" s="19" t="str">
        <f>_xlfn.XLOOKUP(__xlnm._FilterDatabase_156[[#This Row],[SAPSA Number]],Table1[SAPSA number],Table1[Name])</f>
        <v>Ian David</v>
      </c>
      <c r="E40" s="39" t="str">
        <f>_xlfn.XLOOKUP(__xlnm._FilterDatabase_156[[#This Row],[SAPSA Number]],Table1[SAPSA number],Table1[Surname])</f>
        <v>McLaren</v>
      </c>
      <c r="F40" s="28" t="str">
        <f>_xlfn.XLOOKUP(__xlnm._FilterDatabase_156[[#This Row],[SAPSA Number]],Table1[SAPSA number],Table1[Initials])</f>
        <v>ID</v>
      </c>
      <c r="G40" s="17" t="str">
        <f ca="1">_xlfn.XLOOKUP(__xlnm._FilterDatabase_156[[#This Row],[SAPSA Number]],Table1[SAPSA number],Table1[Gender])</f>
        <v>SS</v>
      </c>
      <c r="H40" s="19">
        <f ca="1">_xlfn.XLOOKUP(__xlnm._FilterDatabase_1[[#This Row],[SAPSA Number]],Table1[SAPSA number],Table1[Age])</f>
        <v>51</v>
      </c>
      <c r="I40" s="19" t="s">
        <v>244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hidden="1" customHeight="1" x14ac:dyDescent="0.3">
      <c r="A41" s="17">
        <f t="shared" si="3"/>
        <v>15</v>
      </c>
      <c r="B41" s="18">
        <v>5200</v>
      </c>
      <c r="C41" s="26">
        <f>_xlfn.XLOOKUP(__xlnm._FilterDatabase_156[[#This Row],[SAPSA Number]],Table1[SAPSA number],Table1[Paid up])</f>
        <v>0</v>
      </c>
      <c r="D41" s="19" t="str">
        <f>_xlfn.XLOOKUP(__xlnm._FilterDatabase_156[[#This Row],[SAPSA Number]],Table1[SAPSA number],Table1[Name])</f>
        <v>Daniel</v>
      </c>
      <c r="E41" s="39" t="str">
        <f>_xlfn.XLOOKUP(__xlnm._FilterDatabase_156[[#This Row],[SAPSA Number]],Table1[SAPSA number],Table1[Surname])</f>
        <v>McWilliam</v>
      </c>
      <c r="F41" s="28" t="str">
        <f>_xlfn.XLOOKUP(__xlnm._FilterDatabase_156[[#This Row],[SAPSA Number]],Table1[SAPSA number],Table1[Initials])</f>
        <v>D</v>
      </c>
      <c r="G41" s="17" t="str">
        <f ca="1">_xlfn.XLOOKUP(__xlnm._FilterDatabase_156[[#This Row],[SAPSA Number]],Table1[SAPSA number],Table1[Gender])</f>
        <v xml:space="preserve"> </v>
      </c>
      <c r="H41" s="19">
        <f ca="1">_xlfn.XLOOKUP(__xlnm._FilterDatabase_1[[#This Row],[SAPSA Number]],Table1[SAPSA number],Table1[Age])</f>
        <v>58</v>
      </c>
      <c r="I41" s="19" t="s">
        <v>244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hidden="1" customHeight="1" x14ac:dyDescent="0.3">
      <c r="A42" s="17">
        <f t="shared" si="3"/>
        <v>15</v>
      </c>
      <c r="B42" s="25">
        <v>1771</v>
      </c>
      <c r="C42" s="25" t="str">
        <f>_xlfn.XLOOKUP(__xlnm._FilterDatabase_156[[#This Row],[SAPSA Number]],Table1[SAPSA number],Table1[Paid up])</f>
        <v>Y</v>
      </c>
      <c r="D42" s="19" t="str">
        <f>_xlfn.XLOOKUP(__xlnm._FilterDatabase_156[[#This Row],[SAPSA Number]],Table1[SAPSA number],Table1[Name])</f>
        <v>Rodney Ralph</v>
      </c>
      <c r="E42" s="39" t="str">
        <f>_xlfn.XLOOKUP(__xlnm._FilterDatabase_156[[#This Row],[SAPSA Number]],Table1[SAPSA number],Table1[Surname])</f>
        <v>Mills</v>
      </c>
      <c r="F42" s="28" t="str">
        <f>_xlfn.XLOOKUP(__xlnm._FilterDatabase_156[[#This Row],[SAPSA Number]],Table1[SAPSA number],Table1[Initials])</f>
        <v>RR</v>
      </c>
      <c r="G42" s="17" t="str">
        <f ca="1">_xlfn.XLOOKUP(__xlnm._FilterDatabase_156[[#This Row],[SAPSA Number]],Table1[SAPSA number],Table1[Gender])</f>
        <v>GS</v>
      </c>
      <c r="H42" s="19">
        <f ca="1">_xlfn.XLOOKUP(__xlnm._FilterDatabase_1[[#This Row],[SAPSA Number]],Table1[SAPSA number],Table1[Age])</f>
        <v>53</v>
      </c>
      <c r="I42" s="19" t="s">
        <v>244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hidden="1" customHeight="1" x14ac:dyDescent="0.3">
      <c r="A43" s="17">
        <f t="shared" si="3"/>
        <v>15</v>
      </c>
      <c r="B43" s="25">
        <v>1637</v>
      </c>
      <c r="C43" s="26">
        <f>_xlfn.XLOOKUP(__xlnm._FilterDatabase_156[[#This Row],[SAPSA Number]],Table1[SAPSA number],Table1[Paid up])</f>
        <v>0</v>
      </c>
      <c r="D43" s="19" t="str">
        <f>_xlfn.XLOOKUP(__xlnm._FilterDatabase_156[[#This Row],[SAPSA Number]],Table1[SAPSA number],Table1[Name])</f>
        <v>Andre Johann Pieter</v>
      </c>
      <c r="E43" s="39" t="str">
        <f>_xlfn.XLOOKUP(__xlnm._FilterDatabase_156[[#This Row],[SAPSA Number]],Table1[SAPSA number],Table1[Surname])</f>
        <v>Mouton</v>
      </c>
      <c r="F43" s="28" t="str">
        <f>_xlfn.XLOOKUP(__xlnm._FilterDatabase_156[[#This Row],[SAPSA Number]],Table1[SAPSA number],Table1[Initials])</f>
        <v>AJP</v>
      </c>
      <c r="G43" s="17" t="str">
        <f ca="1">_xlfn.XLOOKUP(__xlnm._FilterDatabase_156[[#This Row],[SAPSA Number]],Table1[SAPSA number],Table1[Gender])</f>
        <v>GS</v>
      </c>
      <c r="H43" s="19">
        <f ca="1">_xlfn.XLOOKUP(__xlnm._FilterDatabase_1[[#This Row],[SAPSA Number]],Table1[SAPSA number],Table1[Age])</f>
        <v>51</v>
      </c>
      <c r="I43" s="19" t="s">
        <v>244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3"/>
        <v>15</v>
      </c>
      <c r="B44" s="25">
        <v>1777</v>
      </c>
      <c r="C44" s="100" t="str">
        <f>_xlfn.XLOOKUP(__xlnm._FilterDatabase_156[[#This Row],[SAPSA Number]],Table1[SAPSA number],Table1[Paid up])</f>
        <v>Y</v>
      </c>
      <c r="D44" s="19" t="str">
        <f>_xlfn.XLOOKUP(__xlnm._FilterDatabase_156[[#This Row],[SAPSA Number]],Table1[SAPSA number],Table1[Name])</f>
        <v xml:space="preserve">Leon </v>
      </c>
      <c r="E44" s="39" t="str">
        <f>_xlfn.XLOOKUP(__xlnm._FilterDatabase_156[[#This Row],[SAPSA Number]],Table1[SAPSA number],Table1[Surname])</f>
        <v>Myburgh</v>
      </c>
      <c r="F44" s="28" t="str">
        <f>_xlfn.XLOOKUP(__xlnm._FilterDatabase_156[[#This Row],[SAPSA Number]],Table1[SAPSA number],Table1[Initials])</f>
        <v>LC</v>
      </c>
      <c r="G44" s="17" t="str">
        <f ca="1">_xlfn.XLOOKUP(__xlnm._FilterDatabase_156[[#This Row],[SAPSA Number]],Table1[SAPSA number],Table1[Gender])</f>
        <v>S</v>
      </c>
      <c r="H44" s="19">
        <f ca="1">_xlfn.XLOOKUP(__xlnm._FilterDatabase_1[[#This Row],[SAPSA Number]],Table1[SAPSA number],Table1[Age])</f>
        <v>71</v>
      </c>
      <c r="I44" s="19" t="s">
        <v>244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hidden="1" customHeight="1" x14ac:dyDescent="0.3">
      <c r="A45" s="17">
        <f t="shared" si="3"/>
        <v>15</v>
      </c>
      <c r="B45" s="18">
        <v>5804</v>
      </c>
      <c r="C45" s="100" t="str">
        <f>_xlfn.XLOOKUP(__xlnm._FilterDatabase_156[[#This Row],[SAPSA Number]],Table1[SAPSA number],Table1[Paid up])</f>
        <v>Y</v>
      </c>
      <c r="D45" s="19" t="str">
        <f>_xlfn.XLOOKUP(__xlnm._FilterDatabase_156[[#This Row],[SAPSA Number]],Table1[SAPSA number],Table1[Name])</f>
        <v>Louis Johannes</v>
      </c>
      <c r="E45" s="39" t="str">
        <f>_xlfn.XLOOKUP(__xlnm._FilterDatabase_156[[#This Row],[SAPSA Number]],Table1[SAPSA number],Table1[Surname])</f>
        <v>Nel</v>
      </c>
      <c r="F45" s="28" t="str">
        <f>_xlfn.XLOOKUP(__xlnm._FilterDatabase_156[[#This Row],[SAPSA Number]],Table1[SAPSA number],Table1[Initials])</f>
        <v>LJ</v>
      </c>
      <c r="G45" s="17" t="str">
        <f ca="1">_xlfn.XLOOKUP(__xlnm._FilterDatabase_156[[#This Row],[SAPSA Number]],Table1[SAPSA number],Table1[Gender])</f>
        <v xml:space="preserve"> </v>
      </c>
      <c r="H45" s="19">
        <f ca="1">_xlfn.XLOOKUP(__xlnm._FilterDatabase_1[[#This Row],[SAPSA Number]],Table1[SAPSA number],Table1[Age])</f>
        <v>38</v>
      </c>
      <c r="I45" s="19" t="s">
        <v>244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3"/>
        <v>15</v>
      </c>
      <c r="B46" s="25">
        <v>250</v>
      </c>
      <c r="C46" s="25">
        <f>_xlfn.XLOOKUP(__xlnm._FilterDatabase_156[[#This Row],[SAPSA Number]],Table1[SAPSA number],Table1[Paid up])</f>
        <v>0</v>
      </c>
      <c r="D46" s="19" t="str">
        <f>_xlfn.XLOOKUP(__xlnm._FilterDatabase_156[[#This Row],[SAPSA Number]],Table1[SAPSA number],Table1[Name])</f>
        <v>Adriano Walter</v>
      </c>
      <c r="E46" s="39" t="str">
        <f>_xlfn.XLOOKUP(__xlnm._FilterDatabase_156[[#This Row],[SAPSA Number]],Table1[SAPSA number],Table1[Surname])</f>
        <v>Paschini</v>
      </c>
      <c r="F46" s="28" t="str">
        <f>_xlfn.XLOOKUP(__xlnm._FilterDatabase_156[[#This Row],[SAPSA Number]],Table1[SAPSA number],Table1[Initials])</f>
        <v>AW</v>
      </c>
      <c r="G46" s="17" t="str">
        <f ca="1">_xlfn.XLOOKUP(__xlnm._FilterDatabase_156[[#This Row],[SAPSA Number]],Table1[SAPSA number],Table1[Gender])</f>
        <v>SS</v>
      </c>
      <c r="H46" s="19">
        <f ca="1">_xlfn.XLOOKUP(__xlnm._FilterDatabase_1[[#This Row],[SAPSA Number]],Table1[SAPSA number],Table1[Age])</f>
        <v>70</v>
      </c>
      <c r="I46" s="19" t="s">
        <v>244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25" hidden="1" customHeight="1" x14ac:dyDescent="0.3">
      <c r="A47" s="17">
        <f t="shared" si="3"/>
        <v>15</v>
      </c>
      <c r="B47" s="25">
        <v>6633</v>
      </c>
      <c r="C47" s="99">
        <f>_xlfn.XLOOKUP(__xlnm._FilterDatabase_156[[#This Row],[SAPSA Number]],Table1[SAPSA number],Table1[Paid up])</f>
        <v>0</v>
      </c>
      <c r="D47" s="19" t="str">
        <f>_xlfn.XLOOKUP(__xlnm._FilterDatabase_156[[#This Row],[SAPSA Number]],Table1[SAPSA number],Table1[Name])</f>
        <v>Allessandro Raffaele</v>
      </c>
      <c r="E47" s="39" t="str">
        <f>_xlfn.XLOOKUP(__xlnm._FilterDatabase_156[[#This Row],[SAPSA Number]],Table1[SAPSA number],Table1[Surname])</f>
        <v>Paschini</v>
      </c>
      <c r="F47" s="28" t="str">
        <f>_xlfn.XLOOKUP(__xlnm._FilterDatabase_156[[#This Row],[SAPSA Number]],Table1[SAPSA number],Table1[Initials])</f>
        <v>AR</v>
      </c>
      <c r="G47" s="17" t="str">
        <f ca="1">_xlfn.XLOOKUP(__xlnm._FilterDatabase_156[[#This Row],[SAPSA Number]],Table1[SAPSA number],Table1[Gender])</f>
        <v xml:space="preserve"> </v>
      </c>
      <c r="H47" s="19">
        <f ca="1">_xlfn.XLOOKUP(__xlnm._FilterDatabase_1[[#This Row],[SAPSA Number]],Table1[SAPSA number],Table1[Age])</f>
        <v>47</v>
      </c>
      <c r="I47" s="19" t="s">
        <v>244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 t="shared" si="3"/>
        <v>15</v>
      </c>
      <c r="B48" s="124">
        <v>7478</v>
      </c>
      <c r="C48" s="124">
        <f>_xlfn.XLOOKUP(__xlnm._FilterDatabase_156[[#This Row],[SAPSA Number]],Table1[SAPSA number],Table1[Paid up])</f>
        <v>0</v>
      </c>
      <c r="D48" s="19" t="str">
        <f>_xlfn.XLOOKUP(__xlnm._FilterDatabase_156[[#This Row],[SAPSA Number]],Table1[SAPSA number],Table1[Name])</f>
        <v>Annemarie</v>
      </c>
      <c r="E48" s="39" t="str">
        <f>_xlfn.XLOOKUP(__xlnm._FilterDatabase_156[[#This Row],[SAPSA Number]],Table1[SAPSA number],Table1[Surname])</f>
        <v>Pienaar</v>
      </c>
      <c r="F48" s="28" t="str">
        <f>_xlfn.XLOOKUP(__xlnm._FilterDatabase_156[[#This Row],[SAPSA Number]],Table1[SAPSA number],Table1[Initials])</f>
        <v>A</v>
      </c>
      <c r="G48" s="17" t="str">
        <f>_xlfn.XLOOKUP(__xlnm._FilterDatabase_156[[#This Row],[SAPSA Number]],Table1[SAPSA number],Table1[Gender])</f>
        <v>Lady</v>
      </c>
      <c r="H48" s="19">
        <f ca="1">_xlfn.XLOOKUP(__xlnm._FilterDatabase_1[[#This Row],[SAPSA Number]],Table1[SAPSA number],Table1[Age])</f>
        <v>35</v>
      </c>
      <c r="I48" s="19" t="s">
        <v>244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hidden="1" customHeight="1" x14ac:dyDescent="0.3">
      <c r="A49" s="17">
        <f t="shared" si="3"/>
        <v>15</v>
      </c>
      <c r="B49" s="25">
        <v>2950</v>
      </c>
      <c r="C49" s="25">
        <f>_xlfn.XLOOKUP(__xlnm._FilterDatabase_156[[#This Row],[SAPSA Number]],Table1[SAPSA number],Table1[Paid up])</f>
        <v>0</v>
      </c>
      <c r="D49" s="19" t="str">
        <f>_xlfn.XLOOKUP(__xlnm._FilterDatabase_156[[#This Row],[SAPSA Number]],Table1[SAPSA number],Table1[Name])</f>
        <v>Renier Jansen</v>
      </c>
      <c r="E49" s="39" t="str">
        <f>_xlfn.XLOOKUP(__xlnm._FilterDatabase_156[[#This Row],[SAPSA Number]],Table1[SAPSA number],Table1[Surname])</f>
        <v>Reynders</v>
      </c>
      <c r="F49" s="28" t="str">
        <f>_xlfn.XLOOKUP(__xlnm._FilterDatabase_156[[#This Row],[SAPSA Number]],Table1[SAPSA number],Table1[Initials])</f>
        <v>RJ</v>
      </c>
      <c r="G49" s="17" t="str">
        <f ca="1">_xlfn.XLOOKUP(__xlnm._FilterDatabase_156[[#This Row],[SAPSA Number]],Table1[SAPSA number],Table1[Gender])</f>
        <v xml:space="preserve"> </v>
      </c>
      <c r="H49" s="19">
        <f ca="1">_xlfn.XLOOKUP(__xlnm._FilterDatabase_1[[#This Row],[SAPSA Number]],Table1[SAPSA number],Table1[Age])</f>
        <v>46</v>
      </c>
      <c r="I49" s="19" t="s">
        <v>244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hidden="1" customHeight="1" x14ac:dyDescent="0.3">
      <c r="A50" s="17">
        <f t="shared" si="3"/>
        <v>15</v>
      </c>
      <c r="B50" s="25">
        <v>1929</v>
      </c>
      <c r="C50" s="25">
        <f>_xlfn.XLOOKUP(__xlnm._FilterDatabase_156[[#This Row],[SAPSA Number]],Table1[SAPSA number],Table1[Paid up])</f>
        <v>0</v>
      </c>
      <c r="D50" s="19" t="str">
        <f>_xlfn.XLOOKUP(__xlnm._FilterDatabase_156[[#This Row],[SAPSA Number]],Table1[SAPSA number],Table1[Name])</f>
        <v>Chris</v>
      </c>
      <c r="E50" s="39" t="str">
        <f>_xlfn.XLOOKUP(__xlnm._FilterDatabase_156[[#This Row],[SAPSA Number]],Table1[SAPSA number],Table1[Surname])</f>
        <v>Ridout</v>
      </c>
      <c r="F50" s="28" t="str">
        <f>_xlfn.XLOOKUP(__xlnm._FilterDatabase_156[[#This Row],[SAPSA Number]],Table1[SAPSA number],Table1[Initials])</f>
        <v>CJ</v>
      </c>
      <c r="G50" s="17" t="str">
        <f ca="1">_xlfn.XLOOKUP(__xlnm._FilterDatabase_156[[#This Row],[SAPSA Number]],Table1[SAPSA number],Table1[Gender])</f>
        <v xml:space="preserve"> </v>
      </c>
      <c r="H50" s="19">
        <f ca="1">_xlfn.XLOOKUP(__xlnm._FilterDatabase_1[[#This Row],[SAPSA Number]],Table1[SAPSA number],Table1[Age])</f>
        <v>44</v>
      </c>
      <c r="I50" s="19" t="s">
        <v>244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hidden="1" customHeight="1" x14ac:dyDescent="0.3">
      <c r="A51" s="17">
        <f t="shared" ref="A51:A70" si="6">RANK(K51,K$2:K$135,0)</f>
        <v>15</v>
      </c>
      <c r="B51" s="25">
        <v>4966</v>
      </c>
      <c r="C51" s="25" t="str">
        <f>_xlfn.XLOOKUP(__xlnm._FilterDatabase_156[[#This Row],[SAPSA Number]],Table1[SAPSA number],Table1[Paid up])</f>
        <v>Y</v>
      </c>
      <c r="D51" s="19" t="str">
        <f>_xlfn.XLOOKUP(__xlnm._FilterDatabase_156[[#This Row],[SAPSA Number]],Table1[SAPSA number],Table1[Name])</f>
        <v>Costantinos</v>
      </c>
      <c r="E51" s="39" t="str">
        <f>_xlfn.XLOOKUP(__xlnm._FilterDatabase_156[[#This Row],[SAPSA Number]],Table1[SAPSA number],Table1[Surname])</f>
        <v>Seindis</v>
      </c>
      <c r="F51" s="28" t="str">
        <f>_xlfn.XLOOKUP(__xlnm._FilterDatabase_156[[#This Row],[SAPSA Number]],Table1[SAPSA number],Table1[Initials])</f>
        <v>C</v>
      </c>
      <c r="G51" s="17" t="str">
        <f ca="1">_xlfn.XLOOKUP(__xlnm._FilterDatabase_156[[#This Row],[SAPSA Number]],Table1[SAPSA number],Table1[Gender])</f>
        <v xml:space="preserve"> </v>
      </c>
      <c r="H51" s="19">
        <f ca="1">_xlfn.XLOOKUP(__xlnm._FilterDatabase_1[[#This Row],[SAPSA Number]],Table1[SAPSA number],Table1[Age])</f>
        <v>52</v>
      </c>
      <c r="I51" s="19" t="s">
        <v>244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6"/>
        <v>15</v>
      </c>
      <c r="B52" s="25">
        <v>1321</v>
      </c>
      <c r="C52" s="25">
        <f>_xlfn.XLOOKUP(__xlnm._FilterDatabase_156[[#This Row],[SAPSA Number]],Table1[SAPSA number],Table1[Paid up])</f>
        <v>0</v>
      </c>
      <c r="D52" s="19" t="str">
        <f>_xlfn.XLOOKUP(__xlnm._FilterDatabase_156[[#This Row],[SAPSA Number]],Table1[SAPSA number],Table1[Name])</f>
        <v>Neal Monisen</v>
      </c>
      <c r="E52" s="39" t="str">
        <f>_xlfn.XLOOKUP(__xlnm._FilterDatabase_156[[#This Row],[SAPSA Number]],Table1[SAPSA number],Table1[Surname])</f>
        <v>Sokay</v>
      </c>
      <c r="F52" s="28" t="str">
        <f>_xlfn.XLOOKUP(__xlnm._FilterDatabase_156[[#This Row],[SAPSA Number]],Table1[SAPSA number],Table1[Initials])</f>
        <v>NM</v>
      </c>
      <c r="G52" s="17" t="str">
        <f ca="1">_xlfn.XLOOKUP(__xlnm._FilterDatabase_156[[#This Row],[SAPSA Number]],Table1[SAPSA number],Table1[Gender])</f>
        <v>S</v>
      </c>
      <c r="H52" s="19">
        <f ca="1">_xlfn.XLOOKUP(__xlnm._FilterDatabase_1[[#This Row],[SAPSA Number]],Table1[SAPSA number],Table1[Age])</f>
        <v>36</v>
      </c>
      <c r="I52" s="19" t="s">
        <v>244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6"/>
        <v>15</v>
      </c>
      <c r="B53" s="25">
        <v>3832</v>
      </c>
      <c r="C53" s="25" t="str">
        <f>_xlfn.XLOOKUP(__xlnm._FilterDatabase_156[[#This Row],[SAPSA Number]],Table1[SAPSA number],Table1[Paid up])</f>
        <v>Y</v>
      </c>
      <c r="D53" s="19" t="str">
        <f>_xlfn.XLOOKUP(__xlnm._FilterDatabase_156[[#This Row],[SAPSA Number]],Table1[SAPSA number],Table1[Name])</f>
        <v>Dion Rowlands</v>
      </c>
      <c r="E53" s="39" t="str">
        <f>_xlfn.XLOOKUP(__xlnm._FilterDatabase_156[[#This Row],[SAPSA Number]],Table1[SAPSA number],Table1[Surname])</f>
        <v>Stead</v>
      </c>
      <c r="F53" s="28" t="str">
        <f>_xlfn.XLOOKUP(__xlnm._FilterDatabase_156[[#This Row],[SAPSA Number]],Table1[SAPSA number],Table1[Initials])</f>
        <v>DR</v>
      </c>
      <c r="G53" s="17" t="str">
        <f ca="1">_xlfn.XLOOKUP(__xlnm._FilterDatabase_156[[#This Row],[SAPSA Number]],Table1[SAPSA number],Table1[Gender])</f>
        <v>S</v>
      </c>
      <c r="H53" s="19">
        <f ca="1">_xlfn.XLOOKUP(__xlnm._FilterDatabase_1[[#This Row],[SAPSA Number]],Table1[SAPSA number],Table1[Age])</f>
        <v>52</v>
      </c>
      <c r="I53" s="19" t="s">
        <v>244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hidden="1" customHeight="1" x14ac:dyDescent="0.3">
      <c r="A54" s="17">
        <f t="shared" si="6"/>
        <v>15</v>
      </c>
      <c r="B54" s="25">
        <v>4858</v>
      </c>
      <c r="C54" s="25" t="str">
        <f>_xlfn.XLOOKUP(__xlnm._FilterDatabase_156[[#This Row],[SAPSA Number]],Table1[SAPSA number],Table1[Paid up])</f>
        <v>Y</v>
      </c>
      <c r="D54" s="19" t="str">
        <f>_xlfn.XLOOKUP(__xlnm._FilterDatabase_156[[#This Row],[SAPSA Number]],Table1[SAPSA number],Table1[Name])</f>
        <v>Jacques</v>
      </c>
      <c r="E54" s="39" t="str">
        <f>_xlfn.XLOOKUP(__xlnm._FilterDatabase_156[[#This Row],[SAPSA Number]],Table1[SAPSA number],Table1[Surname])</f>
        <v>Swanepoel</v>
      </c>
      <c r="F54" s="28" t="str">
        <f>_xlfn.XLOOKUP(__xlnm._FilterDatabase_156[[#This Row],[SAPSA Number]],Table1[SAPSA number],Table1[Initials])</f>
        <v>J</v>
      </c>
      <c r="G54" s="17" t="str">
        <f ca="1">_xlfn.XLOOKUP(__xlnm._FilterDatabase_156[[#This Row],[SAPSA Number]],Table1[SAPSA number],Table1[Gender])</f>
        <v xml:space="preserve"> </v>
      </c>
      <c r="H54" s="19">
        <f ca="1">_xlfn.XLOOKUP(__xlnm._FilterDatabase_1[[#This Row],[SAPSA Number]],Table1[SAPSA number],Table1[Age])</f>
        <v>53</v>
      </c>
      <c r="I54" s="19" t="s">
        <v>244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6"/>
        <v>15</v>
      </c>
      <c r="B55" s="25">
        <v>1113</v>
      </c>
      <c r="C55" s="25" t="str">
        <f>_xlfn.XLOOKUP(__xlnm._FilterDatabase_156[[#This Row],[SAPSA Number]],Table1[SAPSA number],Table1[Paid up])</f>
        <v>Y</v>
      </c>
      <c r="D55" s="19" t="str">
        <f>_xlfn.XLOOKUP(__xlnm._FilterDatabase_156[[#This Row],[SAPSA Number]],Table1[SAPSA number],Table1[Name])</f>
        <v>Frik</v>
      </c>
      <c r="E55" s="39" t="str">
        <f>_xlfn.XLOOKUP(__xlnm._FilterDatabase_156[[#This Row],[SAPSA Number]],Table1[SAPSA number],Table1[Surname])</f>
        <v>Truter</v>
      </c>
      <c r="F55" s="28" t="str">
        <f>_xlfn.XLOOKUP(__xlnm._FilterDatabase_156[[#This Row],[SAPSA Number]],Table1[SAPSA number],Table1[Initials])</f>
        <v>FC</v>
      </c>
      <c r="G55" s="17" t="str">
        <f ca="1">_xlfn.XLOOKUP(__xlnm._FilterDatabase_156[[#This Row],[SAPSA Number]],Table1[SAPSA number],Table1[Gender])</f>
        <v>SS</v>
      </c>
      <c r="H55" s="19">
        <f ca="1">_xlfn.XLOOKUP(__xlnm._FilterDatabase_1[[#This Row],[SAPSA Number]],Table1[SAPSA number],Table1[Age])</f>
        <v>31</v>
      </c>
      <c r="I55" s="19" t="s">
        <v>244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6"/>
        <v>15</v>
      </c>
      <c r="B56" s="25">
        <v>4672</v>
      </c>
      <c r="C56" s="30" t="str">
        <f>_xlfn.XLOOKUP(__xlnm._FilterDatabase_156[[#This Row],[SAPSA Number]],Table1[SAPSA number],Table1[Paid up])</f>
        <v>Y</v>
      </c>
      <c r="D56" s="19" t="str">
        <f>_xlfn.XLOOKUP(__xlnm._FilterDatabase_156[[#This Row],[SAPSA Number]],Table1[SAPSA number],Table1[Name])</f>
        <v>Frederick John</v>
      </c>
      <c r="E56" s="39" t="str">
        <f>_xlfn.XLOOKUP(__xlnm._FilterDatabase_156[[#This Row],[SAPSA Number]],Table1[SAPSA number],Table1[Surname])</f>
        <v>Turnbull</v>
      </c>
      <c r="F56" s="28" t="str">
        <f>_xlfn.XLOOKUP(__xlnm._FilterDatabase_156[[#This Row],[SAPSA Number]],Table1[SAPSA number],Table1[Initials])</f>
        <v>FJ</v>
      </c>
      <c r="G56" s="17" t="str">
        <f ca="1">_xlfn.XLOOKUP(__xlnm._FilterDatabase_156[[#This Row],[SAPSA Number]],Table1[SAPSA number],Table1[Gender])</f>
        <v>SS</v>
      </c>
      <c r="H56" s="19">
        <f ca="1">_xlfn.XLOOKUP(__xlnm._FilterDatabase_1[[#This Row],[SAPSA Number]],Table1[SAPSA number],Table1[Age])</f>
        <v>61</v>
      </c>
      <c r="I56" s="19" t="s">
        <v>244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6"/>
        <v>15</v>
      </c>
      <c r="B57" s="108">
        <v>1931</v>
      </c>
      <c r="C57" s="32">
        <f>_xlfn.XLOOKUP(__xlnm._FilterDatabase_156[[#This Row],[SAPSA Number]],Table1[SAPSA number],Table1[Paid up])</f>
        <v>0</v>
      </c>
      <c r="D57" s="19" t="str">
        <f>_xlfn.XLOOKUP(__xlnm._FilterDatabase_156[[#This Row],[SAPSA Number]],Table1[SAPSA number],Table1[Name])</f>
        <v>Sylvia</v>
      </c>
      <c r="E57" s="39" t="str">
        <f>_xlfn.XLOOKUP(__xlnm._FilterDatabase_156[[#This Row],[SAPSA Number]],Table1[SAPSA number],Table1[Surname])</f>
        <v>Van der Neut</v>
      </c>
      <c r="F57" s="28" t="str">
        <f>_xlfn.XLOOKUP(__xlnm._FilterDatabase_156[[#This Row],[SAPSA Number]],Table1[SAPSA number],Table1[Initials])</f>
        <v>S</v>
      </c>
      <c r="G57" s="17" t="str">
        <f>_xlfn.XLOOKUP(__xlnm._FilterDatabase_156[[#This Row],[SAPSA Number]],Table1[SAPSA number],Table1[Gender])</f>
        <v>Lady</v>
      </c>
      <c r="H57" s="19">
        <f ca="1">_xlfn.XLOOKUP(__xlnm._FilterDatabase_1[[#This Row],[SAPSA Number]],Table1[SAPSA number],Table1[Age])</f>
        <v>60</v>
      </c>
      <c r="I57" s="19" t="s">
        <v>244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hidden="1" customHeight="1" x14ac:dyDescent="0.3">
      <c r="A58" s="17">
        <f t="shared" si="6"/>
        <v>15</v>
      </c>
      <c r="B58" s="108">
        <v>5616</v>
      </c>
      <c r="C58" s="32">
        <f>_xlfn.XLOOKUP(__xlnm._FilterDatabase_156[[#This Row],[SAPSA Number]],Table1[SAPSA number],Table1[Paid up])</f>
        <v>0</v>
      </c>
      <c r="D58" s="19" t="str">
        <f>_xlfn.XLOOKUP(__xlnm._FilterDatabase_156[[#This Row],[SAPSA Number]],Table1[SAPSA number],Table1[Name])</f>
        <v>Cornelis Herman</v>
      </c>
      <c r="E58" s="39" t="str">
        <f>_xlfn.XLOOKUP(__xlnm._FilterDatabase_156[[#This Row],[SAPSA Number]],Table1[SAPSA number],Table1[Surname])</f>
        <v>van Driel</v>
      </c>
      <c r="F58" s="28" t="str">
        <f>_xlfn.XLOOKUP(__xlnm._FilterDatabase_156[[#This Row],[SAPSA Number]],Table1[SAPSA number],Table1[Initials])</f>
        <v>CH</v>
      </c>
      <c r="G58" s="17" t="str">
        <f ca="1">_xlfn.XLOOKUP(__xlnm._FilterDatabase_156[[#This Row],[SAPSA Number]],Table1[SAPSA number],Table1[Gender])</f>
        <v xml:space="preserve"> </v>
      </c>
      <c r="H58" s="19">
        <f ca="1">_xlfn.XLOOKUP(__xlnm._FilterDatabase_1[[#This Row],[SAPSA Number]],Table1[SAPSA number],Table1[Age])</f>
        <v>56</v>
      </c>
      <c r="I58" s="19" t="s">
        <v>244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hidden="1" customHeight="1" x14ac:dyDescent="0.3">
      <c r="A59" s="17">
        <f t="shared" si="6"/>
        <v>15</v>
      </c>
      <c r="B59" s="18">
        <v>6564</v>
      </c>
      <c r="C59" s="142" t="str">
        <f>_xlfn.XLOOKUP(__xlnm._FilterDatabase_156[[#This Row],[SAPSA Number]],Table1[SAPSA number],Table1[Paid up])</f>
        <v>Y</v>
      </c>
      <c r="D59" s="19" t="str">
        <f>_xlfn.XLOOKUP(__xlnm._FilterDatabase_156[[#This Row],[SAPSA Number]],Table1[SAPSA number],Table1[Name])</f>
        <v>Kwimton Schalk</v>
      </c>
      <c r="E59" s="39" t="str">
        <f>_xlfn.XLOOKUP(__xlnm._FilterDatabase_156[[#This Row],[SAPSA Number]],Table1[SAPSA number],Table1[Surname])</f>
        <v>van Jaarsveld</v>
      </c>
      <c r="F59" s="28" t="str">
        <f>_xlfn.XLOOKUP(__xlnm._FilterDatabase_156[[#This Row],[SAPSA Number]],Table1[SAPSA number],Table1[Initials])</f>
        <v>KS</v>
      </c>
      <c r="G59" s="17" t="str">
        <f ca="1">_xlfn.XLOOKUP(__xlnm._FilterDatabase_156[[#This Row],[SAPSA Number]],Table1[SAPSA number],Table1[Gender])</f>
        <v xml:space="preserve"> </v>
      </c>
      <c r="H59" s="19">
        <f ca="1">_xlfn.XLOOKUP(__xlnm._FilterDatabase_1[[#This Row],[SAPSA Number]],Table1[SAPSA number],Table1[Age])</f>
        <v>38</v>
      </c>
      <c r="I59" s="19" t="s">
        <v>244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hidden="1" customHeight="1" x14ac:dyDescent="0.3">
      <c r="A60" s="17">
        <f t="shared" si="6"/>
        <v>15</v>
      </c>
      <c r="B60" s="25">
        <v>5262</v>
      </c>
      <c r="C60" s="25" t="str">
        <f>_xlfn.XLOOKUP(__xlnm._FilterDatabase_156[[#This Row],[SAPSA Number]],Table1[SAPSA number],Table1[Paid up])</f>
        <v>Y</v>
      </c>
      <c r="D60" s="19" t="str">
        <f>_xlfn.XLOOKUP(__xlnm._FilterDatabase_156[[#This Row],[SAPSA Number]],Table1[SAPSA number],Table1[Name])</f>
        <v>Andre</v>
      </c>
      <c r="E60" s="39" t="str">
        <f>_xlfn.XLOOKUP(__xlnm._FilterDatabase_156[[#This Row],[SAPSA Number]],Table1[SAPSA number],Table1[Surname])</f>
        <v>van Rooyen</v>
      </c>
      <c r="F60" s="28" t="str">
        <f>_xlfn.XLOOKUP(__xlnm._FilterDatabase_156[[#This Row],[SAPSA Number]],Table1[SAPSA number],Table1[Initials])</f>
        <v>A</v>
      </c>
      <c r="G60" s="17" t="str">
        <f ca="1">_xlfn.XLOOKUP(__xlnm._FilterDatabase_156[[#This Row],[SAPSA Number]],Table1[SAPSA number],Table1[Gender])</f>
        <v xml:space="preserve"> </v>
      </c>
      <c r="H60" s="19">
        <f ca="1">_xlfn.XLOOKUP(__xlnm._FilterDatabase_1[[#This Row],[SAPSA Number]],Table1[SAPSA number],Table1[Age])</f>
        <v>41</v>
      </c>
      <c r="I60" s="19" t="s">
        <v>244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6"/>
        <v>15</v>
      </c>
      <c r="B61" s="25">
        <v>5971</v>
      </c>
      <c r="C61" s="25">
        <f>_xlfn.XLOOKUP(__xlnm._FilterDatabase_156[[#This Row],[SAPSA Number]],Table1[SAPSA number],Table1[Paid up])</f>
        <v>0</v>
      </c>
      <c r="D61" s="19" t="str">
        <f>_xlfn.XLOOKUP(__xlnm._FilterDatabase_156[[#This Row],[SAPSA Number]],Table1[SAPSA number],Table1[Name])</f>
        <v>Hendrik</v>
      </c>
      <c r="E61" s="39" t="str">
        <f>_xlfn.XLOOKUP(__xlnm._FilterDatabase_156[[#This Row],[SAPSA Number]],Table1[SAPSA number],Table1[Surname])</f>
        <v>van Rooyen</v>
      </c>
      <c r="F61" s="28" t="str">
        <f>_xlfn.XLOOKUP(__xlnm._FilterDatabase_156[[#This Row],[SAPSA Number]],Table1[SAPSA number],Table1[Initials])</f>
        <v>H</v>
      </c>
      <c r="G61" s="17" t="str">
        <f ca="1">_xlfn.XLOOKUP(__xlnm._FilterDatabase_156[[#This Row],[SAPSA Number]],Table1[SAPSA number],Table1[Gender])</f>
        <v>S</v>
      </c>
      <c r="H61" s="19">
        <f ca="1">_xlfn.XLOOKUP(__xlnm._FilterDatabase_1[[#This Row],[SAPSA Number]],Table1[SAPSA number],Table1[Age])</f>
        <v>48</v>
      </c>
      <c r="I61" s="19" t="s">
        <v>244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hidden="1" customHeight="1" x14ac:dyDescent="0.3">
      <c r="A62" s="17">
        <f t="shared" si="6"/>
        <v>15</v>
      </c>
      <c r="B62" s="25">
        <v>2051</v>
      </c>
      <c r="C62" s="30" t="str">
        <f>_xlfn.XLOOKUP(__xlnm._FilterDatabase_156[[#This Row],[SAPSA Number]],Table1[SAPSA number],Table1[Paid up])</f>
        <v>Y</v>
      </c>
      <c r="D62" s="19" t="str">
        <f>_xlfn.XLOOKUP(__xlnm._FilterDatabase_156[[#This Row],[SAPSA Number]],Table1[SAPSA number],Table1[Name])</f>
        <v>Simon Adriaan</v>
      </c>
      <c r="E62" s="39" t="str">
        <f>_xlfn.XLOOKUP(__xlnm._FilterDatabase_156[[#This Row],[SAPSA Number]],Table1[SAPSA number],Table1[Surname])</f>
        <v>Vermooten</v>
      </c>
      <c r="F62" s="28" t="str">
        <f>_xlfn.XLOOKUP(__xlnm._FilterDatabase_156[[#This Row],[SAPSA Number]],Table1[SAPSA number],Table1[Initials])</f>
        <v>SA</v>
      </c>
      <c r="G62" s="17" t="str">
        <f ca="1">_xlfn.XLOOKUP(__xlnm._FilterDatabase_156[[#This Row],[SAPSA Number]],Table1[SAPSA number],Table1[Gender])</f>
        <v>GS</v>
      </c>
      <c r="H62" s="19">
        <f ca="1">_xlfn.XLOOKUP(__xlnm._FilterDatabase_1[[#This Row],[SAPSA Number]],Table1[SAPSA number],Table1[Age])</f>
        <v>51</v>
      </c>
      <c r="I62" s="19" t="s">
        <v>244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hidden="1" customHeight="1" x14ac:dyDescent="0.3">
      <c r="A63" s="17">
        <f t="shared" si="6"/>
        <v>15</v>
      </c>
      <c r="B63" s="103">
        <v>2089</v>
      </c>
      <c r="C63" s="32" t="str">
        <f>_xlfn.XLOOKUP(__xlnm._FilterDatabase_156[[#This Row],[SAPSA Number]],Table1[SAPSA number],Table1[Paid up])</f>
        <v>Y</v>
      </c>
      <c r="D63" s="19" t="str">
        <f>_xlfn.XLOOKUP(__xlnm._FilterDatabase_156[[#This Row],[SAPSA Number]],Table1[SAPSA number],Table1[Name])</f>
        <v>Doané</v>
      </c>
      <c r="E63" s="39" t="str">
        <f>_xlfn.XLOOKUP(__xlnm._FilterDatabase_156[[#This Row],[SAPSA Number]],Table1[SAPSA number],Table1[Surname])</f>
        <v>Vermooten</v>
      </c>
      <c r="F63" s="28" t="str">
        <f>_xlfn.XLOOKUP(__xlnm._FilterDatabase_156[[#This Row],[SAPSA Number]],Table1[SAPSA number],Table1[Initials])</f>
        <v>D</v>
      </c>
      <c r="G63" s="17" t="str">
        <f ca="1">_xlfn.XLOOKUP(__xlnm._FilterDatabase_156[[#This Row],[SAPSA Number]],Table1[SAPSA number],Table1[Gender])</f>
        <v xml:space="preserve"> </v>
      </c>
      <c r="H63" s="19">
        <f ca="1">_xlfn.XLOOKUP(__xlnm._FilterDatabase_1[[#This Row],[SAPSA Number]],Table1[SAPSA number],Table1[Age])</f>
        <v>42</v>
      </c>
      <c r="I63" s="19" t="s">
        <v>244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hidden="1" customHeight="1" x14ac:dyDescent="0.3">
      <c r="A64" s="17">
        <f t="shared" si="6"/>
        <v>15</v>
      </c>
      <c r="B64" s="39">
        <v>896</v>
      </c>
      <c r="C64" s="107" t="str">
        <f>_xlfn.XLOOKUP(__xlnm._FilterDatabase_156[[#This Row],[SAPSA Number]],Table1[SAPSA number],Table1[Paid up])</f>
        <v>Y</v>
      </c>
      <c r="D64" s="19" t="str">
        <f>_xlfn.XLOOKUP(__xlnm._FilterDatabase_156[[#This Row],[SAPSA Number]],Table1[SAPSA number],Table1[Name])</f>
        <v>Johannes Francois</v>
      </c>
      <c r="E64" s="39" t="str">
        <f>_xlfn.XLOOKUP(__xlnm._FilterDatabase_156[[#This Row],[SAPSA Number]],Table1[SAPSA number],Table1[Surname])</f>
        <v>Wheeler</v>
      </c>
      <c r="F64" s="28" t="str">
        <f>_xlfn.XLOOKUP(__xlnm._FilterDatabase_156[[#This Row],[SAPSA Number]],Table1[SAPSA number],Table1[Initials])</f>
        <v>JF</v>
      </c>
      <c r="G64" s="17" t="str">
        <f ca="1">_xlfn.XLOOKUP(__xlnm._FilterDatabase_156[[#This Row],[SAPSA Number]],Table1[SAPSA number],Table1[Gender])</f>
        <v xml:space="preserve"> </v>
      </c>
      <c r="H64" s="19">
        <f ca="1">_xlfn.XLOOKUP(__xlnm._FilterDatabase_1[[#This Row],[SAPSA Number]],Table1[SAPSA number],Table1[Age])</f>
        <v>46</v>
      </c>
      <c r="I64" s="19" t="s">
        <v>244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 t="shared" si="6"/>
        <v>15</v>
      </c>
      <c r="B65" s="103">
        <v>1716</v>
      </c>
      <c r="C65" s="32" t="str">
        <f>_xlfn.XLOOKUP(__xlnm._FilterDatabase_156[[#This Row],[SAPSA Number]],Table1[SAPSA number],Table1[Paid up])</f>
        <v>Y</v>
      </c>
      <c r="D65" s="19" t="str">
        <f>_xlfn.XLOOKUP(__xlnm._FilterDatabase_156[[#This Row],[SAPSA Number]],Table1[SAPSA number],Table1[Name])</f>
        <v>Albert</v>
      </c>
      <c r="E65" s="39" t="str">
        <f>_xlfn.XLOOKUP(__xlnm._FilterDatabase_156[[#This Row],[SAPSA Number]],Table1[SAPSA number],Table1[Surname])</f>
        <v>Wöcke</v>
      </c>
      <c r="F65" s="28" t="str">
        <f>_xlfn.XLOOKUP(__xlnm._FilterDatabase_156[[#This Row],[SAPSA Number]],Table1[SAPSA number],Table1[Initials])</f>
        <v>A</v>
      </c>
      <c r="G65" s="17" t="str">
        <f ca="1">_xlfn.XLOOKUP(__xlnm._FilterDatabase_156[[#This Row],[SAPSA Number]],Table1[SAPSA number],Table1[Gender])</f>
        <v>S</v>
      </c>
      <c r="H65" s="19">
        <f ca="1">_xlfn.XLOOKUP(__xlnm._FilterDatabase_1[[#This Row],[SAPSA Number]],Table1[SAPSA number],Table1[Age])</f>
        <v>58</v>
      </c>
      <c r="I65" s="19" t="s">
        <v>244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 t="shared" si="6"/>
        <v>15</v>
      </c>
      <c r="B66" s="26">
        <v>206</v>
      </c>
      <c r="C66" s="107">
        <f>_xlfn.XLOOKUP(__xlnm._FilterDatabase_156[[#This Row],[SAPSA Number]],Table1[SAPSA number],Table1[Paid up])</f>
        <v>0</v>
      </c>
      <c r="D66" s="19" t="str">
        <f>_xlfn.XLOOKUP(__xlnm._FilterDatabase_156[[#This Row],[SAPSA Number]],Table1[SAPSA number],Table1[Name])</f>
        <v>Pierre Dewald</v>
      </c>
      <c r="E66" s="39" t="str">
        <f>_xlfn.XLOOKUP(__xlnm._FilterDatabase_156[[#This Row],[SAPSA Number]],Table1[SAPSA number],Table1[Surname])</f>
        <v>Wrogemann</v>
      </c>
      <c r="F66" s="28" t="str">
        <f>_xlfn.XLOOKUP(__xlnm._FilterDatabase_156[[#This Row],[SAPSA Number]],Table1[SAPSA number],Table1[Initials])</f>
        <v>PD</v>
      </c>
      <c r="G66" s="17" t="str">
        <f ca="1">_xlfn.XLOOKUP(__xlnm._FilterDatabase_156[[#This Row],[SAPSA Number]],Table1[SAPSA number],Table1[Gender])</f>
        <v>S</v>
      </c>
      <c r="H66" s="19">
        <f ca="1">_xlfn.XLOOKUP(__xlnm._FilterDatabase_1[[#This Row],[SAPSA Number]],Table1[SAPSA number],Table1[Age])</f>
        <v>55</v>
      </c>
      <c r="I66" s="19" t="s">
        <v>244</v>
      </c>
      <c r="J66" s="21">
        <f t="shared" si="4"/>
        <v>0</v>
      </c>
      <c r="K66" s="22">
        <f t="shared" ref="K66:K70" si="7"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>
        <f t="shared" si="6"/>
        <v>9</v>
      </c>
      <c r="B67" s="103">
        <v>3810</v>
      </c>
      <c r="C67" s="32"/>
      <c r="D67" s="19" t="str">
        <f>_xlfn.XLOOKUP(__xlnm._FilterDatabase_156[[#This Row],[SAPSA Number]],Table1[SAPSA number],Table1[Name])</f>
        <v>Roelof</v>
      </c>
      <c r="E67" s="39" t="str">
        <f>_xlfn.XLOOKUP(__xlnm._FilterDatabase_156[[#This Row],[SAPSA Number]],Table1[SAPSA number],Table1[Surname])</f>
        <v>Liebenberg</v>
      </c>
      <c r="F67" s="28" t="str">
        <f>_xlfn.XLOOKUP(__xlnm._FilterDatabase_156[[#This Row],[SAPSA Number]],Table1[SAPSA number],Table1[Initials])</f>
        <v>R</v>
      </c>
      <c r="G67" s="17" t="str">
        <f ca="1">_xlfn.XLOOKUP(__xlnm._FilterDatabase_156[[#This Row],[SAPSA Number]],Table1[SAPSA number],Table1[Gender])</f>
        <v>S</v>
      </c>
      <c r="H67" s="19">
        <f ca="1">_xlfn.XLOOKUP(__xlnm._FilterDatabase_1[[#This Row],[SAPSA Number]],Table1[SAPSA number],Table1[Age])</f>
        <v>57</v>
      </c>
      <c r="I67" s="19" t="s">
        <v>244</v>
      </c>
      <c r="J67" s="21">
        <f t="shared" si="4"/>
        <v>1</v>
      </c>
      <c r="K67" s="22">
        <f t="shared" si="7"/>
        <v>18.2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91</v>
      </c>
    </row>
    <row r="68" spans="1:23" ht="14.4" customHeight="1" x14ac:dyDescent="0.3">
      <c r="A68" s="17">
        <f t="shared" si="6"/>
        <v>15</v>
      </c>
      <c r="B68" s="28">
        <v>401</v>
      </c>
      <c r="C68" s="105"/>
      <c r="D68" s="19" t="str">
        <f>_xlfn.XLOOKUP(__xlnm._FilterDatabase_156[[#This Row],[SAPSA Number]],Table1[SAPSA number],Table1[Name])</f>
        <v>Sebella</v>
      </c>
      <c r="E68" s="39" t="str">
        <f>_xlfn.XLOOKUP(__xlnm._FilterDatabase_156[[#This Row],[SAPSA Number]],Table1[SAPSA number],Table1[Surname])</f>
        <v>O'Donovan</v>
      </c>
      <c r="F68" s="28" t="str">
        <f>_xlfn.XLOOKUP(__xlnm._FilterDatabase_156[[#This Row],[SAPSA Number]],Table1[SAPSA number],Table1[Initials])</f>
        <v>S</v>
      </c>
      <c r="G68" s="17" t="str">
        <f>_xlfn.XLOOKUP(__xlnm._FilterDatabase_156[[#This Row],[SAPSA Number]],Table1[SAPSA number],Table1[Gender])</f>
        <v>Lady</v>
      </c>
      <c r="H68" s="19">
        <f ca="1">_xlfn.XLOOKUP(__xlnm._FilterDatabase_1[[#This Row],[SAPSA Number]],Table1[SAPSA number],Table1[Age])</f>
        <v>70</v>
      </c>
      <c r="I68" s="19" t="s">
        <v>244</v>
      </c>
      <c r="J68" s="21">
        <f t="shared" si="4"/>
        <v>0</v>
      </c>
      <c r="K68" s="22">
        <f t="shared" si="7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>
        <f t="shared" si="6"/>
        <v>15</v>
      </c>
      <c r="B69" s="103">
        <v>1547</v>
      </c>
      <c r="C69" s="32"/>
      <c r="D69" s="19" t="str">
        <f>_xlfn.XLOOKUP(__xlnm._FilterDatabase_156[[#This Row],[SAPSA Number]],Table1[SAPSA number],Table1[Name])</f>
        <v>Marius Frans</v>
      </c>
      <c r="E69" s="39" t="str">
        <f>_xlfn.XLOOKUP(__xlnm._FilterDatabase_156[[#This Row],[SAPSA Number]],Table1[SAPSA number],Table1[Surname])</f>
        <v>van Biljon</v>
      </c>
      <c r="F69" s="28" t="str">
        <f>_xlfn.XLOOKUP(__xlnm._FilterDatabase_156[[#This Row],[SAPSA Number]],Table1[SAPSA number],Table1[Initials])</f>
        <v>MF</v>
      </c>
      <c r="G69" s="17" t="str">
        <f ca="1">_xlfn.XLOOKUP(__xlnm._FilterDatabase_156[[#This Row],[SAPSA Number]],Table1[SAPSA number],Table1[Gender])</f>
        <v>S</v>
      </c>
      <c r="H69" s="19">
        <f ca="1">_xlfn.XLOOKUP(__xlnm._FilterDatabase_1[[#This Row],[SAPSA Number]],Table1[SAPSA number],Table1[Age])</f>
        <v>53</v>
      </c>
      <c r="I69" s="19" t="s">
        <v>244</v>
      </c>
      <c r="J69" s="21">
        <f t="shared" si="4"/>
        <v>0</v>
      </c>
      <c r="K69" s="22">
        <f t="shared" si="7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hidden="1" x14ac:dyDescent="0.3">
      <c r="A70" s="17">
        <f t="shared" si="6"/>
        <v>15</v>
      </c>
      <c r="B70" s="103">
        <v>3837</v>
      </c>
      <c r="C70" s="32"/>
      <c r="D70" s="19" t="str">
        <f>_xlfn.XLOOKUP(__xlnm._FilterDatabase_156[[#This Row],[SAPSA Number]],Table1[SAPSA number],Table1[Name])</f>
        <v>Daneel</v>
      </c>
      <c r="E70" s="39" t="str">
        <f>_xlfn.XLOOKUP(__xlnm._FilterDatabase_156[[#This Row],[SAPSA Number]],Table1[SAPSA number],Table1[Surname])</f>
        <v>van eck</v>
      </c>
      <c r="F70" s="28" t="str">
        <f>_xlfn.XLOOKUP(__xlnm._FilterDatabase_156[[#This Row],[SAPSA Number]],Table1[SAPSA number],Table1[Initials])</f>
        <v>DJ</v>
      </c>
      <c r="G70" s="17" t="str">
        <f ca="1">_xlfn.XLOOKUP(__xlnm._FilterDatabase_156[[#This Row],[SAPSA Number]],Table1[SAPSA number],Table1[Gender])</f>
        <v xml:space="preserve"> </v>
      </c>
      <c r="H70" s="19">
        <f ca="1">_xlfn.XLOOKUP(__xlnm._FilterDatabase_1[[#This Row],[SAPSA Number]],Table1[SAPSA number],Table1[Age])</f>
        <v>49</v>
      </c>
      <c r="I70" s="19" t="s">
        <v>244</v>
      </c>
      <c r="J70" s="21">
        <f t="shared" si="4"/>
        <v>0</v>
      </c>
      <c r="K70" s="22">
        <f t="shared" si="7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hidden="1" x14ac:dyDescent="0.3">
      <c r="A71" s="17"/>
      <c r="B71" s="103"/>
      <c r="C71" s="32"/>
      <c r="D71" s="19"/>
      <c r="E71" s="39"/>
      <c r="F71" s="28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hidden="1" x14ac:dyDescent="0.3">
      <c r="A72" s="17"/>
      <c r="B72" s="103"/>
      <c r="C72" s="32"/>
      <c r="D72" s="19"/>
      <c r="E72" s="39"/>
      <c r="F72" s="28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hidden="1" x14ac:dyDescent="0.3">
      <c r="A73" s="17"/>
      <c r="B73" s="103"/>
      <c r="C73" s="32"/>
      <c r="D73" s="19"/>
      <c r="E73" s="39"/>
      <c r="F73" s="28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hidden="1" x14ac:dyDescent="0.3">
      <c r="A74" s="17"/>
      <c r="B74" s="103"/>
      <c r="C74" s="32"/>
      <c r="D74" s="19"/>
      <c r="E74" s="39"/>
      <c r="F74" s="28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hidden="1" x14ac:dyDescent="0.3">
      <c r="A75" s="17"/>
      <c r="B75" s="103"/>
      <c r="C75" s="32"/>
      <c r="D75" s="19"/>
      <c r="E75" s="39"/>
      <c r="F75" s="28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hidden="1" x14ac:dyDescent="0.3">
      <c r="A76" s="17"/>
      <c r="B76" s="103"/>
      <c r="C76" s="32"/>
      <c r="D76" s="19"/>
      <c r="E76" s="39"/>
      <c r="F76" s="28"/>
      <c r="G76" s="17"/>
      <c r="H76" s="19"/>
      <c r="I76" s="19"/>
      <c r="J76" s="21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hidden="1" x14ac:dyDescent="0.3">
      <c r="A77" s="17"/>
      <c r="B77" s="109"/>
      <c r="C77" s="32"/>
      <c r="D77" s="19"/>
      <c r="E77" s="39"/>
      <c r="F77" s="28"/>
      <c r="G77" s="17"/>
      <c r="H77" s="19"/>
      <c r="I77" s="19"/>
      <c r="J77" s="21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hidden="1" x14ac:dyDescent="0.3">
      <c r="A78" s="17"/>
      <c r="B78" s="103"/>
      <c r="C78" s="105"/>
      <c r="D78" s="19"/>
      <c r="E78" s="39"/>
      <c r="F78" s="28"/>
      <c r="G78" s="17"/>
      <c r="H78" s="19"/>
      <c r="I78" s="19"/>
      <c r="J78" s="21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hidden="1" x14ac:dyDescent="0.3">
      <c r="A79" s="31"/>
      <c r="B79" s="97"/>
      <c r="C79" s="32"/>
      <c r="D79" s="19"/>
      <c r="E79" s="39"/>
      <c r="F79" s="28"/>
      <c r="G79" s="17"/>
      <c r="H79" s="19"/>
      <c r="I79" s="19"/>
      <c r="J79" s="34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hidden="1" x14ac:dyDescent="0.3">
      <c r="A80" s="31"/>
      <c r="B80" s="97"/>
      <c r="C80" s="32"/>
      <c r="D80" s="19"/>
      <c r="E80" s="39"/>
      <c r="F80" s="28"/>
      <c r="G80" s="17"/>
      <c r="H80" s="19"/>
      <c r="I80" s="19"/>
      <c r="J80" s="34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hidden="1" x14ac:dyDescent="0.3">
      <c r="A81" s="31"/>
      <c r="B81" s="97"/>
      <c r="C81" s="105"/>
      <c r="D81" s="19"/>
      <c r="E81" s="39"/>
      <c r="F81" s="28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hidden="1" x14ac:dyDescent="0.3">
      <c r="A82" s="31"/>
      <c r="B82" s="32"/>
      <c r="C82" s="99"/>
      <c r="D82" s="19"/>
      <c r="E82" s="39"/>
      <c r="F82" s="28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hidden="1" x14ac:dyDescent="0.3">
      <c r="A83" s="31"/>
      <c r="B83" s="97"/>
      <c r="C83" s="32"/>
      <c r="D83" s="19"/>
      <c r="E83" s="39"/>
      <c r="F83" s="28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hidden="1" x14ac:dyDescent="0.3">
      <c r="A84" s="31"/>
      <c r="B84" s="97"/>
      <c r="C84" s="32"/>
      <c r="D84" s="19"/>
      <c r="E84" s="39"/>
      <c r="F84" s="28"/>
      <c r="G84" s="17"/>
      <c r="H84" s="19"/>
      <c r="I84" s="19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hidden="1" x14ac:dyDescent="0.3">
      <c r="A85" s="35"/>
      <c r="B85" s="36"/>
      <c r="C85" s="99"/>
      <c r="D85" s="19"/>
      <c r="E85" s="39"/>
      <c r="F85" s="28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hidden="1" x14ac:dyDescent="0.3">
      <c r="A86" s="35"/>
      <c r="B86" s="97"/>
      <c r="C86" s="105"/>
      <c r="D86" s="19"/>
      <c r="E86" s="39"/>
      <c r="F86" s="28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hidden="1" x14ac:dyDescent="0.3">
      <c r="A87" s="35"/>
      <c r="B87" s="32"/>
      <c r="C87" s="99"/>
      <c r="D87" s="19"/>
      <c r="E87" s="39"/>
      <c r="F87" s="28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hidden="1" x14ac:dyDescent="0.3">
      <c r="A88" s="35"/>
      <c r="B88" s="97"/>
      <c r="C88" s="32"/>
      <c r="D88" s="19"/>
      <c r="E88" s="39"/>
      <c r="F88" s="28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hidden="1" x14ac:dyDescent="0.3">
      <c r="A89" s="35"/>
      <c r="B89" s="97"/>
      <c r="C89" s="105"/>
      <c r="D89" s="19"/>
      <c r="E89" s="39"/>
      <c r="F89" s="28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hidden="1" x14ac:dyDescent="0.3">
      <c r="A90" s="35"/>
      <c r="B90" s="32"/>
      <c r="C90" s="102"/>
      <c r="D90" s="19"/>
      <c r="E90" s="39"/>
      <c r="F90" s="28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hidden="1" x14ac:dyDescent="0.3">
      <c r="A91" s="35"/>
      <c r="B91" s="32"/>
      <c r="C91" s="102"/>
      <c r="D91" s="19"/>
      <c r="E91" s="39"/>
      <c r="F91" s="28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hidden="1" x14ac:dyDescent="0.3">
      <c r="A92" s="35"/>
      <c r="B92" s="97"/>
      <c r="C92" s="32"/>
      <c r="D92" s="19"/>
      <c r="E92" s="39"/>
      <c r="F92" s="28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hidden="1" x14ac:dyDescent="0.3">
      <c r="A93" s="35"/>
      <c r="B93" s="97"/>
      <c r="C93" s="32"/>
      <c r="D93" s="19"/>
      <c r="E93" s="39"/>
      <c r="F93" s="28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hidden="1" x14ac:dyDescent="0.3">
      <c r="A94" s="31"/>
      <c r="B94" s="32"/>
      <c r="C94" s="99"/>
      <c r="D94" s="19"/>
      <c r="E94" s="39"/>
      <c r="F94" s="28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hidden="1" x14ac:dyDescent="0.3">
      <c r="A95" s="31"/>
      <c r="B95" s="104"/>
      <c r="C95" s="105"/>
      <c r="D95" s="19"/>
      <c r="E95" s="39"/>
      <c r="F95" s="28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hidden="1" x14ac:dyDescent="0.3">
      <c r="A96" s="31"/>
      <c r="B96" s="32"/>
      <c r="C96" s="99"/>
      <c r="D96" s="19"/>
      <c r="E96" s="39"/>
      <c r="F96" s="28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hidden="1" x14ac:dyDescent="0.3">
      <c r="A97" s="35"/>
      <c r="B97" s="125"/>
      <c r="C97" s="32"/>
      <c r="D97" s="19"/>
      <c r="E97" s="39"/>
      <c r="F97" s="28"/>
      <c r="G97" s="17"/>
      <c r="H97" s="19"/>
      <c r="I97" s="19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hidden="1" x14ac:dyDescent="0.3">
      <c r="A98" s="35"/>
      <c r="B98" s="141"/>
      <c r="C98" s="105"/>
      <c r="D98" s="19"/>
      <c r="E98" s="39"/>
      <c r="F98" s="28"/>
      <c r="G98" s="17"/>
      <c r="H98" s="19"/>
      <c r="I98" s="29"/>
      <c r="J98" s="52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hidden="1" x14ac:dyDescent="0.3">
      <c r="A99" s="31"/>
      <c r="B99" s="97"/>
      <c r="C99" s="32"/>
      <c r="D99" s="19"/>
      <c r="E99" s="39"/>
      <c r="F99" s="28"/>
      <c r="G99" s="17"/>
      <c r="H99" s="19"/>
      <c r="I99" s="33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hidden="1" x14ac:dyDescent="0.3">
      <c r="A100" s="31"/>
      <c r="B100" s="97"/>
      <c r="C100" s="32"/>
      <c r="D100" s="19"/>
      <c r="E100" s="39"/>
      <c r="F100" s="28"/>
      <c r="G100" s="17"/>
      <c r="H100" s="19"/>
      <c r="I100" s="33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hidden="1" x14ac:dyDescent="0.3">
      <c r="A101" s="31"/>
      <c r="B101" s="104"/>
      <c r="C101" s="105"/>
      <c r="D101" s="19"/>
      <c r="E101" s="39"/>
      <c r="F101" s="28"/>
      <c r="G101" s="17"/>
      <c r="H101" s="19"/>
      <c r="I101" s="33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hidden="1" x14ac:dyDescent="0.3">
      <c r="A102" s="31"/>
      <c r="B102" s="104"/>
      <c r="C102" s="105"/>
      <c r="D102" s="19"/>
      <c r="E102" s="39"/>
      <c r="F102" s="28"/>
      <c r="G102" s="17"/>
      <c r="H102" s="19"/>
      <c r="I102" s="33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hidden="1" x14ac:dyDescent="0.3">
      <c r="A103" s="31"/>
      <c r="B103" s="97"/>
      <c r="C103" s="32"/>
      <c r="D103" s="19"/>
      <c r="E103" s="39"/>
      <c r="F103" s="28"/>
      <c r="G103" s="17"/>
      <c r="H103" s="19"/>
      <c r="I103" s="33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hidden="1" x14ac:dyDescent="0.3">
      <c r="A104" s="31"/>
      <c r="B104" s="104"/>
      <c r="C104" s="32"/>
      <c r="D104" s="19"/>
      <c r="E104" s="39"/>
      <c r="F104" s="28"/>
      <c r="G104" s="17"/>
      <c r="H104" s="19"/>
      <c r="I104" s="33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hidden="1" x14ac:dyDescent="0.3">
      <c r="A105" s="31"/>
      <c r="B105" s="43"/>
      <c r="C105" s="99"/>
      <c r="D105" s="19"/>
      <c r="E105" s="39"/>
      <c r="F105" s="28"/>
      <c r="G105" s="17"/>
      <c r="H105" s="19"/>
      <c r="I105" s="33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hidden="1" x14ac:dyDescent="0.3">
      <c r="A106" s="31"/>
      <c r="B106" s="32"/>
      <c r="C106" s="99"/>
      <c r="D106" s="19"/>
      <c r="E106" s="39"/>
      <c r="F106" s="28"/>
      <c r="G106" s="17"/>
      <c r="H106" s="19"/>
      <c r="I106" s="33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hidden="1" x14ac:dyDescent="0.3">
      <c r="A107" s="31"/>
      <c r="B107" s="97"/>
      <c r="C107" s="32"/>
      <c r="D107" s="19"/>
      <c r="E107" s="39"/>
      <c r="F107" s="28"/>
      <c r="G107" s="17"/>
      <c r="H107" s="19"/>
      <c r="I107" s="33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hidden="1" x14ac:dyDescent="0.3">
      <c r="A108" s="31"/>
      <c r="B108" s="32"/>
      <c r="C108" s="99"/>
      <c r="D108" s="19"/>
      <c r="E108" s="39"/>
      <c r="F108" s="28"/>
      <c r="G108" s="17"/>
      <c r="H108" s="19"/>
      <c r="I108" s="33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hidden="1" x14ac:dyDescent="0.3">
      <c r="A109" s="31"/>
      <c r="B109" s="97"/>
      <c r="C109" s="32"/>
      <c r="D109" s="19"/>
      <c r="E109" s="39"/>
      <c r="F109" s="28"/>
      <c r="G109" s="17"/>
      <c r="H109" s="19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hidden="1" x14ac:dyDescent="0.3">
      <c r="A110" s="31"/>
      <c r="B110" s="32"/>
      <c r="C110" s="99"/>
      <c r="D110" s="19"/>
      <c r="E110" s="39"/>
      <c r="F110" s="28"/>
      <c r="G110" s="17"/>
      <c r="H110" s="19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hidden="1" x14ac:dyDescent="0.3">
      <c r="A111" s="31"/>
      <c r="B111" s="97"/>
      <c r="C111" s="105"/>
      <c r="D111" s="19"/>
      <c r="E111" s="39"/>
      <c r="F111" s="28"/>
      <c r="G111" s="17"/>
      <c r="H111" s="19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hidden="1" x14ac:dyDescent="0.3">
      <c r="A112" s="31"/>
      <c r="B112" s="43"/>
      <c r="C112" s="102"/>
      <c r="D112" s="19"/>
      <c r="E112" s="39"/>
      <c r="F112" s="28"/>
      <c r="G112" s="17"/>
      <c r="H112" s="19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5" hidden="1" x14ac:dyDescent="0.3">
      <c r="A113" s="31"/>
      <c r="B113" s="97"/>
      <c r="C113" s="32"/>
      <c r="D113" s="19"/>
      <c r="E113" s="39"/>
      <c r="F113" s="28"/>
      <c r="G113" s="17"/>
      <c r="H113" s="19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5" hidden="1" x14ac:dyDescent="0.3">
      <c r="A114" s="31"/>
      <c r="B114" s="97"/>
      <c r="C114" s="32"/>
      <c r="D114" s="19"/>
      <c r="E114" s="39"/>
      <c r="F114" s="28"/>
      <c r="G114" s="17"/>
      <c r="H114" s="19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5" hidden="1" x14ac:dyDescent="0.3">
      <c r="A115" s="31"/>
      <c r="B115" s="32"/>
      <c r="C115" s="99"/>
      <c r="D115" s="19"/>
      <c r="E115" s="39"/>
      <c r="F115" s="28"/>
      <c r="G115" s="17"/>
      <c r="H115" s="19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5" hidden="1" x14ac:dyDescent="0.3">
      <c r="A116" s="31"/>
      <c r="B116" s="97"/>
      <c r="C116" s="32"/>
      <c r="D116" s="19"/>
      <c r="E116" s="39"/>
      <c r="F116" s="28"/>
      <c r="G116" s="17"/>
      <c r="H116" s="19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5" hidden="1" x14ac:dyDescent="0.3">
      <c r="A117" s="31"/>
      <c r="B117" s="97"/>
      <c r="C117" s="32"/>
      <c r="D117" s="19"/>
      <c r="E117" s="39"/>
      <c r="F117" s="28"/>
      <c r="G117" s="17"/>
      <c r="H117" s="19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5" hidden="1" x14ac:dyDescent="0.3">
      <c r="A118" s="31"/>
      <c r="B118" s="32"/>
      <c r="C118" s="32"/>
      <c r="D118" s="19"/>
      <c r="E118" s="39"/>
      <c r="F118" s="28"/>
      <c r="G118" s="17"/>
      <c r="H118" s="19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5" hidden="1" x14ac:dyDescent="0.3">
      <c r="A119" s="31"/>
      <c r="B119" s="32"/>
      <c r="C119" s="32"/>
      <c r="D119" s="19"/>
      <c r="E119" s="39"/>
      <c r="F119" s="28"/>
      <c r="G119" s="17"/>
      <c r="H119" s="19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5" hidden="1" x14ac:dyDescent="0.3">
      <c r="A120" s="31"/>
      <c r="B120" s="121"/>
      <c r="C120" s="122"/>
      <c r="D120" s="19"/>
      <c r="E120" s="39"/>
      <c r="F120" s="28"/>
      <c r="G120" s="17"/>
      <c r="H120" s="19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5" hidden="1" x14ac:dyDescent="0.3">
      <c r="A121" s="31"/>
      <c r="B121" s="43"/>
      <c r="C121" s="105"/>
      <c r="D121" s="19"/>
      <c r="E121" s="39"/>
      <c r="F121" s="28"/>
      <c r="G121" s="17"/>
      <c r="H121" s="19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5" hidden="1" x14ac:dyDescent="0.3">
      <c r="A122" s="31"/>
      <c r="B122" s="43"/>
      <c r="C122" s="105"/>
      <c r="D122" s="19"/>
      <c r="E122" s="39"/>
      <c r="F122" s="28"/>
      <c r="G122" s="17"/>
      <c r="H122" s="19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5" hidden="1" x14ac:dyDescent="0.3">
      <c r="A123" s="31"/>
      <c r="B123" s="43"/>
      <c r="C123" s="105"/>
      <c r="D123" s="19"/>
      <c r="E123" s="39"/>
      <c r="F123" s="28"/>
      <c r="G123" s="17"/>
      <c r="H123" s="19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5" hidden="1" x14ac:dyDescent="0.3">
      <c r="A124" s="31"/>
      <c r="B124" s="32"/>
      <c r="C124" s="32"/>
      <c r="D124" s="19"/>
      <c r="E124" s="39"/>
      <c r="F124" s="28"/>
      <c r="G124" s="17"/>
      <c r="H124" s="19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  <c r="X124" s="65"/>
      <c r="Y124" s="65"/>
    </row>
  </sheetData>
  <conditionalFormatting sqref="G2:G124">
    <cfRule type="cellIs" dxfId="13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C1B1-D372-417C-96C1-6C6E8C5A287A}">
  <sheetPr codeName="Sheet4">
    <tabColor rgb="FF0070C0"/>
  </sheetPr>
  <dimension ref="A1:AMJ136"/>
  <sheetViews>
    <sheetView zoomScale="80" zoomScaleNormal="80" workbookViewId="0">
      <pane xSplit="11" ySplit="1" topLeftCell="U2" activePane="bottomRight" state="frozen"/>
      <selection activeCell="D82" sqref="D82"/>
      <selection pane="topRight" activeCell="D82" sqref="D82"/>
      <selection pane="bottomLeft" activeCell="D82" sqref="D82"/>
      <selection pane="bottomRight" activeCell="W4" sqref="W4"/>
    </sheetView>
  </sheetViews>
  <sheetFormatPr defaultRowHeight="14.4" x14ac:dyDescent="0.3"/>
  <cols>
    <col min="1" max="1" width="10.44140625" style="37" bestFit="1" customWidth="1"/>
    <col min="2" max="2" width="10.33203125" style="16" customWidth="1"/>
    <col min="3" max="3" width="10.33203125" style="16" hidden="1" customWidth="1"/>
    <col min="4" max="4" width="20.109375" style="16" bestFit="1" customWidth="1"/>
    <col min="5" max="5" width="19.109375" style="16" customWidth="1"/>
    <col min="6" max="6" width="8.109375" style="16" customWidth="1"/>
    <col min="7" max="7" width="6.44140625" style="16" customWidth="1"/>
    <col min="8" max="8" width="6.6640625" style="16" hidden="1" customWidth="1"/>
    <col min="9" max="9" width="9.1093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11" t="s">
        <v>187</v>
      </c>
      <c r="C1" s="11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8" si="0">RANK(K2,K$2:K$149,0)</f>
        <v>2</v>
      </c>
      <c r="B2" s="18">
        <v>2651</v>
      </c>
      <c r="C2" s="25" t="str">
        <f>_xlfn.XLOOKUP(__xlnm._FilterDatabase_15[[#This Row],[SAPSA Number]],Table1[SAPSA number],Table1[Paid up])</f>
        <v>Y</v>
      </c>
      <c r="D2" s="19" t="str">
        <f>_xlfn.XLOOKUP(__xlnm._FilterDatabase_15[[#This Row],[SAPSA Number]],Table1[SAPSA number],Table1[Name])</f>
        <v>Paul Herman</v>
      </c>
      <c r="E2" s="39" t="str">
        <f>_xlfn.XLOOKUP(__xlnm._FilterDatabase_15[[#This Row],[SAPSA Number]],Table1[SAPSA number],Table1[Surname])</f>
        <v>Leuschner</v>
      </c>
      <c r="F2" s="28" t="str">
        <f>_xlfn.XLOOKUP(__xlnm._FilterDatabase_15[[#This Row],[SAPSA Number]],Table1[SAPSA number],Table1[Initials])</f>
        <v>PH</v>
      </c>
      <c r="G2" s="17" t="str">
        <f ca="1">_xlfn.XLOOKUP(__xlnm._FilterDatabase_15[[#This Row],[SAPSA Number]],Table1[SAPSA number],Table1[Gender])</f>
        <v>S</v>
      </c>
      <c r="H2" s="19">
        <f ca="1">_xlfn.XLOOKUP(__xlnm._FilterDatabase_1[[#This Row],[SAPSA Number]],Table1[SAPSA number],Table1[Age])</f>
        <v>66</v>
      </c>
      <c r="I2" s="19" t="s">
        <v>234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5</v>
      </c>
      <c r="K2" s="22">
        <f t="shared" ref="K2:K33" si="2">(LARGE(L2:W2,1)+LARGE(L2:W2,2)+LARGE(L2:W2,3)+LARGE(L2:W2,4)+LARGE(L2:W2,5))/5</f>
        <v>98.444780000000009</v>
      </c>
      <c r="L2" s="23">
        <v>100</v>
      </c>
      <c r="M2" s="24">
        <v>97.484300000000005</v>
      </c>
      <c r="N2" s="23">
        <v>94.739599999999996</v>
      </c>
      <c r="O2" s="24">
        <v>100</v>
      </c>
      <c r="P2" s="23">
        <v>0</v>
      </c>
      <c r="Q2" s="24">
        <v>0</v>
      </c>
      <c r="R2" s="23">
        <v>0</v>
      </c>
      <c r="S2" s="24">
        <v>100</v>
      </c>
      <c r="T2" s="23">
        <v>0</v>
      </c>
      <c r="U2" s="24">
        <v>0</v>
      </c>
      <c r="V2" s="23">
        <v>0</v>
      </c>
      <c r="W2" s="24">
        <v>0</v>
      </c>
    </row>
    <row r="3" spans="1:23" ht="14.4" customHeight="1" x14ac:dyDescent="0.3">
      <c r="A3" s="17">
        <f t="shared" si="0"/>
        <v>1</v>
      </c>
      <c r="B3" s="25">
        <v>3832</v>
      </c>
      <c r="C3" s="25" t="str">
        <f>_xlfn.XLOOKUP(__xlnm._FilterDatabase_15[[#This Row],[SAPSA Number]],Table1[SAPSA number],Table1[Paid up])</f>
        <v>Y</v>
      </c>
      <c r="D3" s="19" t="str">
        <f>_xlfn.XLOOKUP(__xlnm._FilterDatabase_15[[#This Row],[SAPSA Number]],Table1[SAPSA number],Table1[Name])</f>
        <v>Dion Rowlands</v>
      </c>
      <c r="E3" s="39" t="str">
        <f>_xlfn.XLOOKUP(__xlnm._FilterDatabase_15[[#This Row],[SAPSA Number]],Table1[SAPSA number],Table1[Surname])</f>
        <v>Stead</v>
      </c>
      <c r="F3" s="28" t="str">
        <f>_xlfn.XLOOKUP(__xlnm._FilterDatabase_15[[#This Row],[SAPSA Number]],Table1[SAPSA number],Table1[Initials])</f>
        <v>DR</v>
      </c>
      <c r="G3" s="17" t="str">
        <f ca="1">_xlfn.XLOOKUP(__xlnm._FilterDatabase_15[[#This Row],[SAPSA Number]],Table1[SAPSA number],Table1[Gender])</f>
        <v>S</v>
      </c>
      <c r="H3" s="19" t="e">
        <f>_xlfn.XLOOKUP(__xlnm._FilterDatabase_15[[#This Row],[SAPSA Number]],#REF!,#REF!)</f>
        <v>#REF!</v>
      </c>
      <c r="I3" s="19" t="s">
        <v>234</v>
      </c>
      <c r="J3" s="21">
        <f t="shared" si="1"/>
        <v>5</v>
      </c>
      <c r="K3" s="22">
        <f t="shared" si="2"/>
        <v>100</v>
      </c>
      <c r="L3" s="23">
        <v>0</v>
      </c>
      <c r="M3" s="24">
        <v>0</v>
      </c>
      <c r="N3" s="23">
        <v>100</v>
      </c>
      <c r="O3" s="24">
        <v>0</v>
      </c>
      <c r="P3" s="23">
        <v>0</v>
      </c>
      <c r="Q3" s="24">
        <v>0</v>
      </c>
      <c r="R3" s="23">
        <v>100</v>
      </c>
      <c r="S3" s="24">
        <v>0</v>
      </c>
      <c r="T3" s="23">
        <v>100</v>
      </c>
      <c r="U3" s="24">
        <v>100</v>
      </c>
      <c r="V3" s="23">
        <v>0</v>
      </c>
      <c r="W3" s="24">
        <v>100</v>
      </c>
    </row>
    <row r="4" spans="1:23" ht="14.4" customHeight="1" x14ac:dyDescent="0.3">
      <c r="A4" s="17">
        <f t="shared" si="0"/>
        <v>3</v>
      </c>
      <c r="B4" s="25">
        <v>1716</v>
      </c>
      <c r="C4" s="25" t="str">
        <f>_xlfn.XLOOKUP(__xlnm._FilterDatabase_15[[#This Row],[SAPSA Number]],Table1[SAPSA number],Table1[Paid up])</f>
        <v>Y</v>
      </c>
      <c r="D4" s="19" t="str">
        <f>_xlfn.XLOOKUP(__xlnm._FilterDatabase_15[[#This Row],[SAPSA Number]],Table1[SAPSA number],Table1[Name])</f>
        <v>Albert</v>
      </c>
      <c r="E4" s="39" t="str">
        <f>_xlfn.XLOOKUP(__xlnm._FilterDatabase_15[[#This Row],[SAPSA Number]],Table1[SAPSA number],Table1[Surname])</f>
        <v>Wöcke</v>
      </c>
      <c r="F4" s="28" t="str">
        <f>_xlfn.XLOOKUP(__xlnm._FilterDatabase_15[[#This Row],[SAPSA Number]],Table1[SAPSA number],Table1[Initials])</f>
        <v>A</v>
      </c>
      <c r="G4" s="17" t="str">
        <f ca="1">_xlfn.XLOOKUP(__xlnm._FilterDatabase_15[[#This Row],[SAPSA Number]],Table1[SAPSA number],Table1[Gender])</f>
        <v>S</v>
      </c>
      <c r="H4" s="19" t="e">
        <f>_xlfn.XLOOKUP(__xlnm._FilterDatabase_15[[#This Row],[SAPSA Number]],#REF!,#REF!)</f>
        <v>#REF!</v>
      </c>
      <c r="I4" s="19" t="s">
        <v>234</v>
      </c>
      <c r="J4" s="21">
        <f t="shared" si="1"/>
        <v>2</v>
      </c>
      <c r="K4" s="22">
        <f t="shared" si="2"/>
        <v>34.748759999999997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100</v>
      </c>
      <c r="R4" s="23">
        <v>0</v>
      </c>
      <c r="S4" s="24">
        <v>0</v>
      </c>
      <c r="T4" s="23">
        <v>0</v>
      </c>
      <c r="U4" s="24">
        <v>73.743799999999993</v>
      </c>
      <c r="V4" s="23">
        <v>0</v>
      </c>
      <c r="W4" s="24">
        <v>0</v>
      </c>
    </row>
    <row r="5" spans="1:23" ht="14.4" customHeight="1" x14ac:dyDescent="0.3">
      <c r="A5" s="17">
        <f t="shared" si="0"/>
        <v>4</v>
      </c>
      <c r="B5" s="25">
        <v>7431</v>
      </c>
      <c r="C5" s="25">
        <f>_xlfn.XLOOKUP(__xlnm._FilterDatabase_15[[#This Row],[SAPSA Number]],Table1[SAPSA number],Table1[Paid up])</f>
        <v>0</v>
      </c>
      <c r="D5" s="19" t="str">
        <f>_xlfn.XLOOKUP(__xlnm._FilterDatabase_15[[#This Row],[SAPSA Number]],Table1[SAPSA number],Table1[Name])</f>
        <v>Anton</v>
      </c>
      <c r="E5" s="39" t="str">
        <f>_xlfn.XLOOKUP(__xlnm._FilterDatabase_15[[#This Row],[SAPSA Number]],Table1[SAPSA number],Table1[Surname])</f>
        <v>Booyse</v>
      </c>
      <c r="F5" s="28" t="str">
        <f>_xlfn.XLOOKUP(__xlnm._FilterDatabase_15[[#This Row],[SAPSA Number]],Table1[SAPSA number],Table1[Initials])</f>
        <v>A</v>
      </c>
      <c r="G5" s="17">
        <f>_xlfn.XLOOKUP(__xlnm._FilterDatabase_15[[#This Row],[SAPSA Number]],Table1[SAPSA number],Table1[Gender])</f>
        <v>0</v>
      </c>
      <c r="H5" s="19" t="e">
        <f>_xlfn.XLOOKUP(__xlnm._FilterDatabase_15[[#This Row],[SAPSA Number]],#REF!,#REF!)</f>
        <v>#REF!</v>
      </c>
      <c r="I5" s="19" t="s">
        <v>234</v>
      </c>
      <c r="J5" s="21">
        <f t="shared" si="1"/>
        <v>2</v>
      </c>
      <c r="K5" s="22">
        <f t="shared" si="2"/>
        <v>17.82574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44.500799999999998</v>
      </c>
      <c r="R5" s="23">
        <v>44.627899999999997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 t="shared" si="0"/>
        <v>5</v>
      </c>
      <c r="B6" s="40">
        <v>7434</v>
      </c>
      <c r="C6" s="25">
        <f>_xlfn.XLOOKUP(__xlnm._FilterDatabase_15[[#This Row],[SAPSA Number]],Table1[SAPSA number],Table1[Paid up])</f>
        <v>0</v>
      </c>
      <c r="D6" s="19" t="str">
        <f>_xlfn.XLOOKUP(__xlnm._FilterDatabase_15[[#This Row],[SAPSA Number]],Table1[SAPSA number],Table1[Name])</f>
        <v>Shannon Kimberley</v>
      </c>
      <c r="E6" s="39" t="str">
        <f>_xlfn.XLOOKUP(__xlnm._FilterDatabase_15[[#This Row],[SAPSA Number]],Table1[SAPSA number],Table1[Surname])</f>
        <v>Gahagan</v>
      </c>
      <c r="F6" s="28" t="str">
        <f>_xlfn.XLOOKUP(__xlnm._FilterDatabase_15[[#This Row],[SAPSA Number]],Table1[SAPSA number],Table1[Initials])</f>
        <v>S</v>
      </c>
      <c r="G6" s="17" t="str">
        <f>_xlfn.XLOOKUP(__xlnm._FilterDatabase_15[[#This Row],[SAPSA Number]],Table1[SAPSA number],Table1[Gender])</f>
        <v>Lady</v>
      </c>
      <c r="H6" s="19" t="e">
        <f>_xlfn.XLOOKUP(__xlnm._FilterDatabase_15[[#This Row],[SAPSA Number]],#REF!,#REF!)</f>
        <v>#REF!</v>
      </c>
      <c r="I6" s="19" t="s">
        <v>234</v>
      </c>
      <c r="J6" s="21">
        <f t="shared" si="1"/>
        <v>1</v>
      </c>
      <c r="K6" s="22">
        <f t="shared" si="2"/>
        <v>17.069659999999999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85.348299999999995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 t="shared" si="0"/>
        <v>6</v>
      </c>
      <c r="B7" s="40">
        <v>6968</v>
      </c>
      <c r="C7" s="25" t="str">
        <f>_xlfn.XLOOKUP(__xlnm._FilterDatabase_15[[#This Row],[SAPSA Number]],Table1[SAPSA number],Table1[Paid up])</f>
        <v>Y</v>
      </c>
      <c r="D7" s="19" t="str">
        <f>_xlfn.XLOOKUP(__xlnm._FilterDatabase_15[[#This Row],[SAPSA Number]],Table1[SAPSA number],Table1[Name])</f>
        <v>Ian John</v>
      </c>
      <c r="E7" s="39" t="str">
        <f>_xlfn.XLOOKUP(__xlnm._FilterDatabase_15[[#This Row],[SAPSA Number]],Table1[SAPSA number],Table1[Surname])</f>
        <v>Kewley</v>
      </c>
      <c r="F7" s="28" t="str">
        <f>_xlfn.XLOOKUP(__xlnm._FilterDatabase_15[[#This Row],[SAPSA Number]],Table1[SAPSA number],Table1[Initials])</f>
        <v>IJ</v>
      </c>
      <c r="G7" s="17" t="str">
        <f ca="1">_xlfn.XLOOKUP(__xlnm._FilterDatabase_15[[#This Row],[SAPSA Number]],Table1[SAPSA number],Table1[Gender])</f>
        <v xml:space="preserve"> </v>
      </c>
      <c r="H7" s="19" t="e">
        <f>_xlfn.XLOOKUP(__xlnm._FilterDatabase_15[[#This Row],[SAPSA Number]],#REF!,#REF!)</f>
        <v>#REF!</v>
      </c>
      <c r="I7" s="19" t="s">
        <v>234</v>
      </c>
      <c r="J7" s="21">
        <f t="shared" si="1"/>
        <v>1</v>
      </c>
      <c r="K7" s="22">
        <f t="shared" si="2"/>
        <v>15.731379999999998</v>
      </c>
      <c r="L7" s="23">
        <v>78.656899999999993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 t="shared" si="0"/>
        <v>7</v>
      </c>
      <c r="B8" s="25">
        <v>3837</v>
      </c>
      <c r="C8" s="25"/>
      <c r="D8" s="19" t="str">
        <f>_xlfn.XLOOKUP(__xlnm._FilterDatabase_15[[#This Row],[SAPSA Number]],Table1[SAPSA number],Table1[Name])</f>
        <v>Daneel</v>
      </c>
      <c r="E8" s="39" t="str">
        <f>_xlfn.XLOOKUP(__xlnm._FilterDatabase_15[[#This Row],[SAPSA Number]],Table1[SAPSA number],Table1[Surname])</f>
        <v>van eck</v>
      </c>
      <c r="F8" s="28" t="str">
        <f>_xlfn.XLOOKUP(__xlnm._FilterDatabase_15[[#This Row],[SAPSA Number]],Table1[SAPSA number],Table1[Initials])</f>
        <v>DJ</v>
      </c>
      <c r="G8" s="17" t="str">
        <f ca="1">_xlfn.XLOOKUP(__xlnm._FilterDatabase_15[[#This Row],[SAPSA Number]],Table1[SAPSA number],Table1[Gender])</f>
        <v xml:space="preserve"> </v>
      </c>
      <c r="H8" s="19" t="e">
        <f>_xlfn.XLOOKUP(__xlnm._FilterDatabase_15[[#This Row],[SAPSA Number]],#REF!,#REF!)</f>
        <v>#REF!</v>
      </c>
      <c r="I8" s="19" t="s">
        <v>234</v>
      </c>
      <c r="J8" s="21">
        <f t="shared" si="1"/>
        <v>1</v>
      </c>
      <c r="K8" s="22">
        <f t="shared" si="2"/>
        <v>10.8452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54.225999999999999</v>
      </c>
      <c r="V8" s="23">
        <v>0</v>
      </c>
      <c r="W8" s="24">
        <v>0</v>
      </c>
    </row>
    <row r="9" spans="1:23" ht="14.4" customHeight="1" x14ac:dyDescent="0.3">
      <c r="A9" s="17">
        <f>RANK(K9,K$2:K$168,0)</f>
        <v>8</v>
      </c>
      <c r="B9" s="18">
        <v>4621</v>
      </c>
      <c r="C9" s="25">
        <f>_xlfn.XLOOKUP(__xlnm._FilterDatabase_15[[#This Row],[SAPSA Number]],Table1[SAPSA number],Table1[Paid up])</f>
        <v>0</v>
      </c>
      <c r="D9" s="19" t="str">
        <f>_xlfn.XLOOKUP(__xlnm._FilterDatabase_15[[#This Row],[SAPSA Number]],Table1[SAPSA number],Table1[Name])</f>
        <v>Colin</v>
      </c>
      <c r="E9" s="39" t="str">
        <f>_xlfn.XLOOKUP(__xlnm._FilterDatabase_15[[#This Row],[SAPSA Number]],Table1[SAPSA number],Table1[Surname])</f>
        <v>Bowring</v>
      </c>
      <c r="F9" s="28" t="str">
        <f>_xlfn.XLOOKUP(__xlnm._FilterDatabase_15[[#This Row],[SAPSA Number]],Table1[SAPSA number],Table1[Initials])</f>
        <v>C</v>
      </c>
      <c r="G9" s="17" t="str">
        <f ca="1">_xlfn.XLOOKUP(__xlnm._FilterDatabase_15[[#This Row],[SAPSA Number]],Table1[SAPSA number],Table1[Gender])</f>
        <v>SS</v>
      </c>
      <c r="H9" s="19" t="e">
        <f>_xlfn.XLOOKUP(__xlnm._FilterDatabase_15[[#This Row],[SAPSA Number]],#REF!,#REF!)</f>
        <v>#REF!</v>
      </c>
      <c r="I9" s="19" t="s">
        <v>234</v>
      </c>
      <c r="J9" s="21">
        <f t="shared" si="1"/>
        <v>1</v>
      </c>
      <c r="K9" s="22">
        <f t="shared" si="2"/>
        <v>6.1361800000000004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30.680900000000001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ref="A10:A41" si="3">RANK(K10,K$2:K$149,0)</f>
        <v>9</v>
      </c>
      <c r="B10" s="25">
        <v>1471</v>
      </c>
      <c r="C10" s="25" t="str">
        <f>_xlfn.XLOOKUP(__xlnm._FilterDatabase_15[[#This Row],[SAPSA Number]],Table1[SAPSA number],Table1[Paid up])</f>
        <v>Y</v>
      </c>
      <c r="D10" s="19" t="str">
        <f>_xlfn.XLOOKUP(__xlnm._FilterDatabase_15[[#This Row],[SAPSA Number]],Table1[SAPSA number],Table1[Name])</f>
        <v>Nikolaus Phillip Karl</v>
      </c>
      <c r="E10" s="39" t="str">
        <f>_xlfn.XLOOKUP(__xlnm._FilterDatabase_15[[#This Row],[SAPSA Number]],Table1[SAPSA number],Table1[Surname])</f>
        <v>Bernhard</v>
      </c>
      <c r="F10" s="28" t="str">
        <f>_xlfn.XLOOKUP(__xlnm._FilterDatabase_15[[#This Row],[SAPSA Number]],Table1[SAPSA number],Table1[Initials])</f>
        <v>NPK</v>
      </c>
      <c r="G10" s="17" t="str">
        <f ca="1">_xlfn.XLOOKUP(__xlnm._FilterDatabase_15[[#This Row],[SAPSA Number]],Table1[SAPSA number],Table1[Gender])</f>
        <v xml:space="preserve"> </v>
      </c>
      <c r="H10" s="19" t="e">
        <f>_xlfn.XLOOKUP(__xlnm._FilterDatabase_15[[#This Row],[SAPSA Number]],#REF!,#REF!)</f>
        <v>#REF!</v>
      </c>
      <c r="I10" s="19" t="s">
        <v>234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3"/>
        <v>9</v>
      </c>
      <c r="B11" s="25">
        <v>4624</v>
      </c>
      <c r="C11" s="25" t="str">
        <f>_xlfn.XLOOKUP(__xlnm._FilterDatabase_15[[#This Row],[SAPSA Number]],Table1[SAPSA number],Table1[Paid up])</f>
        <v>Y</v>
      </c>
      <c r="D11" s="19" t="str">
        <f>_xlfn.XLOOKUP(__xlnm._FilterDatabase_15[[#This Row],[SAPSA Number]],Table1[SAPSA number],Table1[Name])</f>
        <v>Stephanus Christiaan</v>
      </c>
      <c r="E11" s="39" t="str">
        <f>_xlfn.XLOOKUP(__xlnm._FilterDatabase_15[[#This Row],[SAPSA Number]],Table1[SAPSA number],Table1[Surname])</f>
        <v>Bester</v>
      </c>
      <c r="F11" s="28" t="str">
        <f>_xlfn.XLOOKUP(__xlnm._FilterDatabase_15[[#This Row],[SAPSA Number]],Table1[SAPSA number],Table1[Initials])</f>
        <v>SC</v>
      </c>
      <c r="G11" s="17" t="str">
        <f ca="1">_xlfn.XLOOKUP(__xlnm._FilterDatabase_15[[#This Row],[SAPSA Number]],Table1[SAPSA number],Table1[Gender])</f>
        <v>S</v>
      </c>
      <c r="H11" s="19" t="e">
        <f>_xlfn.XLOOKUP(__xlnm._FilterDatabase_15[[#This Row],[SAPSA Number]],#REF!,#REF!)</f>
        <v>#REF!</v>
      </c>
      <c r="I11" s="19" t="s">
        <v>234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3"/>
        <v>9</v>
      </c>
      <c r="B12" s="18">
        <v>3349</v>
      </c>
      <c r="C12" s="25">
        <f>_xlfn.XLOOKUP(__xlnm._FilterDatabase_15[[#This Row],[SAPSA Number]],Table1[SAPSA number],Table1[Paid up])</f>
        <v>0</v>
      </c>
      <c r="D12" s="19" t="str">
        <f>_xlfn.XLOOKUP(__xlnm._FilterDatabase_15[[#This Row],[SAPSA Number]],Table1[SAPSA number],Table1[Name])</f>
        <v>Stefanus Christiaan</v>
      </c>
      <c r="E12" s="39" t="str">
        <f>_xlfn.XLOOKUP(__xlnm._FilterDatabase_15[[#This Row],[SAPSA Number]],Table1[SAPSA number],Table1[Surname])</f>
        <v>Bosch</v>
      </c>
      <c r="F12" s="28" t="str">
        <f>_xlfn.XLOOKUP(__xlnm._FilterDatabase_15[[#This Row],[SAPSA Number]],Table1[SAPSA number],Table1[Initials])</f>
        <v>SC</v>
      </c>
      <c r="G12" s="17" t="str">
        <f ca="1">_xlfn.XLOOKUP(__xlnm._FilterDatabase_15[[#This Row],[SAPSA Number]],Table1[SAPSA number],Table1[Gender])</f>
        <v>S</v>
      </c>
      <c r="H12" s="19" t="e">
        <f>_xlfn.XLOOKUP(__xlnm._FilterDatabase_15[[#This Row],[SAPSA Number]],#REF!,#REF!)</f>
        <v>#REF!</v>
      </c>
      <c r="I12" s="19" t="s">
        <v>234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3"/>
        <v>9</v>
      </c>
      <c r="B13" s="25">
        <v>3350</v>
      </c>
      <c r="C13" s="25">
        <f>_xlfn.XLOOKUP(__xlnm._FilterDatabase_15[[#This Row],[SAPSA Number]],Table1[SAPSA number],Table1[Paid up])</f>
        <v>0</v>
      </c>
      <c r="D13" s="19" t="str">
        <f>_xlfn.XLOOKUP(__xlnm._FilterDatabase_15[[#This Row],[SAPSA Number]],Table1[SAPSA number],Table1[Name])</f>
        <v>Conrad Ernest</v>
      </c>
      <c r="E13" s="39" t="str">
        <f>_xlfn.XLOOKUP(__xlnm._FilterDatabase_15[[#This Row],[SAPSA Number]],Table1[SAPSA number],Table1[Surname])</f>
        <v>Brandt</v>
      </c>
      <c r="F13" s="28" t="str">
        <f>_xlfn.XLOOKUP(__xlnm._FilterDatabase_15[[#This Row],[SAPSA Number]],Table1[SAPSA number],Table1[Initials])</f>
        <v>CE</v>
      </c>
      <c r="G13" s="17" t="str">
        <f ca="1">_xlfn.XLOOKUP(__xlnm._FilterDatabase_15[[#This Row],[SAPSA Number]],Table1[SAPSA number],Table1[Gender])</f>
        <v>S</v>
      </c>
      <c r="H13" s="19" t="e">
        <f>_xlfn.XLOOKUP(__xlnm._FilterDatabase_15[[#This Row],[SAPSA Number]],#REF!,#REF!)</f>
        <v>#REF!</v>
      </c>
      <c r="I13" s="19" t="s">
        <v>234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3"/>
        <v>9</v>
      </c>
      <c r="B14" s="18">
        <v>3338</v>
      </c>
      <c r="C14" s="25">
        <f>_xlfn.XLOOKUP(__xlnm._FilterDatabase_15[[#This Row],[SAPSA Number]],Table1[SAPSA number],Table1[Paid up])</f>
        <v>0</v>
      </c>
      <c r="D14" s="19" t="str">
        <f>_xlfn.XLOOKUP(__xlnm._FilterDatabase_15[[#This Row],[SAPSA Number]],Table1[SAPSA number],Table1[Name])</f>
        <v>Carl Johann</v>
      </c>
      <c r="E14" s="39" t="str">
        <f>_xlfn.XLOOKUP(__xlnm._FilterDatabase_15[[#This Row],[SAPSA Number]],Table1[SAPSA number],Table1[Surname])</f>
        <v>Brandt</v>
      </c>
      <c r="F14" s="28" t="str">
        <f>_xlfn.XLOOKUP(__xlnm._FilterDatabase_15[[#This Row],[SAPSA Number]],Table1[SAPSA number],Table1[Initials])</f>
        <v>CJ</v>
      </c>
      <c r="G14" s="17" t="str">
        <f ca="1">_xlfn.XLOOKUP(__xlnm._FilterDatabase_15[[#This Row],[SAPSA Number]],Table1[SAPSA number],Table1[Gender])</f>
        <v>S</v>
      </c>
      <c r="H14" s="19" t="e">
        <f>_xlfn.XLOOKUP(__xlnm._FilterDatabase_15[[#This Row],[SAPSA Number]],#REF!,#REF!)</f>
        <v>#REF!</v>
      </c>
      <c r="I14" s="19" t="s">
        <v>234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3"/>
        <v>9</v>
      </c>
      <c r="B15" s="25">
        <v>3576</v>
      </c>
      <c r="C15" s="25" t="str">
        <f>_xlfn.XLOOKUP(__xlnm._FilterDatabase_15[[#This Row],[SAPSA Number]],Table1[SAPSA number],Table1[Paid up])</f>
        <v>Y</v>
      </c>
      <c r="D15" s="19" t="str">
        <f>_xlfn.XLOOKUP(__xlnm._FilterDatabase_15[[#This Row],[SAPSA Number]],Table1[SAPSA number],Table1[Name])</f>
        <v>Christoff Mechiel</v>
      </c>
      <c r="E15" s="39" t="str">
        <f>_xlfn.XLOOKUP(__xlnm._FilterDatabase_15[[#This Row],[SAPSA Number]],Table1[SAPSA number],Table1[Surname])</f>
        <v>Brandt</v>
      </c>
      <c r="F15" s="28" t="str">
        <f>_xlfn.XLOOKUP(__xlnm._FilterDatabase_15[[#This Row],[SAPSA Number]],Table1[SAPSA number],Table1[Initials])</f>
        <v>CM</v>
      </c>
      <c r="G15" s="17" t="str">
        <f ca="1">_xlfn.XLOOKUP(__xlnm._FilterDatabase_15[[#This Row],[SAPSA Number]],Table1[SAPSA number],Table1[Gender])</f>
        <v xml:space="preserve"> </v>
      </c>
      <c r="H15" s="19" t="e">
        <f>_xlfn.XLOOKUP(__xlnm._FilterDatabase_15[[#This Row],[SAPSA Number]],#REF!,#REF!)</f>
        <v>#REF!</v>
      </c>
      <c r="I15" s="19" t="s">
        <v>234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3"/>
        <v>9</v>
      </c>
      <c r="B16" s="18">
        <v>5304</v>
      </c>
      <c r="C16" s="25">
        <f>_xlfn.XLOOKUP(__xlnm._FilterDatabase_15[[#This Row],[SAPSA Number]],Table1[SAPSA number],Table1[Paid up])</f>
        <v>0</v>
      </c>
      <c r="D16" s="19" t="str">
        <f>_xlfn.XLOOKUP(__xlnm._FilterDatabase_15[[#This Row],[SAPSA Number]],Table1[SAPSA number],Table1[Name])</f>
        <v>Johan Gerard</v>
      </c>
      <c r="E16" s="39" t="str">
        <f>_xlfn.XLOOKUP(__xlnm._FilterDatabase_15[[#This Row],[SAPSA Number]],Table1[SAPSA number],Table1[Surname])</f>
        <v>Bultman</v>
      </c>
      <c r="F16" s="28" t="str">
        <f>_xlfn.XLOOKUP(__xlnm._FilterDatabase_15[[#This Row],[SAPSA Number]],Table1[SAPSA number],Table1[Initials])</f>
        <v>JG</v>
      </c>
      <c r="G16" s="17" t="str">
        <f ca="1">_xlfn.XLOOKUP(__xlnm._FilterDatabase_15[[#This Row],[SAPSA Number]],Table1[SAPSA number],Table1[Gender])</f>
        <v xml:space="preserve"> </v>
      </c>
      <c r="H16" s="19" t="e">
        <f>_xlfn.XLOOKUP(__xlnm._FilterDatabase_15[[#This Row],[SAPSA Number]],#REF!,#REF!)</f>
        <v>#REF!</v>
      </c>
      <c r="I16" s="19" t="s">
        <v>234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3"/>
        <v>9</v>
      </c>
      <c r="B17" s="25">
        <v>259</v>
      </c>
      <c r="C17" s="25" t="str">
        <f>_xlfn.XLOOKUP(__xlnm._FilterDatabase_15[[#This Row],[SAPSA Number]],Table1[SAPSA number],Table1[Paid up])</f>
        <v>Y</v>
      </c>
      <c r="D17" s="19" t="str">
        <f>_xlfn.XLOOKUP(__xlnm._FilterDatabase_15[[#This Row],[SAPSA Number]],Table1[SAPSA number],Table1[Name])</f>
        <v>Kathleen Beresford</v>
      </c>
      <c r="E17" s="39" t="str">
        <f>_xlfn.XLOOKUP(__xlnm._FilterDatabase_15[[#This Row],[SAPSA Number]],Table1[SAPSA number],Table1[Surname])</f>
        <v>Carter</v>
      </c>
      <c r="F17" s="28" t="str">
        <f>_xlfn.XLOOKUP(__xlnm._FilterDatabase_15[[#This Row],[SAPSA Number]],Table1[SAPSA number],Table1[Initials])</f>
        <v>KB</v>
      </c>
      <c r="G17" s="17" t="str">
        <f>_xlfn.XLOOKUP(__xlnm._FilterDatabase_15[[#This Row],[SAPSA Number]],Table1[SAPSA number],Table1[Gender])</f>
        <v>Lady</v>
      </c>
      <c r="H17" s="19" t="e">
        <f>_xlfn.XLOOKUP(__xlnm._FilterDatabase_15[[#This Row],[SAPSA Number]],#REF!,#REF!)</f>
        <v>#REF!</v>
      </c>
      <c r="I17" s="19" t="s">
        <v>234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3"/>
        <v>9</v>
      </c>
      <c r="B18" s="25">
        <v>4316</v>
      </c>
      <c r="C18" s="25" t="str">
        <f>_xlfn.XLOOKUP(__xlnm._FilterDatabase_15[[#This Row],[SAPSA Number]],Table1[SAPSA number],Table1[Paid up])</f>
        <v>Y</v>
      </c>
      <c r="D18" s="19" t="str">
        <f>_xlfn.XLOOKUP(__xlnm._FilterDatabase_15[[#This Row],[SAPSA Number]],Table1[SAPSA number],Table1[Name])</f>
        <v>Wilhelm Jacobus</v>
      </c>
      <c r="E18" s="39" t="str">
        <f>_xlfn.XLOOKUP(__xlnm._FilterDatabase_15[[#This Row],[SAPSA Number]],Table1[SAPSA number],Table1[Surname])</f>
        <v>Coetzee</v>
      </c>
      <c r="F18" s="28" t="str">
        <f>_xlfn.XLOOKUP(__xlnm._FilterDatabase_15[[#This Row],[SAPSA Number]],Table1[SAPSA number],Table1[Initials])</f>
        <v>WJ</v>
      </c>
      <c r="G18" s="17" t="str">
        <f ca="1">_xlfn.XLOOKUP(__xlnm._FilterDatabase_15[[#This Row],[SAPSA Number]],Table1[SAPSA number],Table1[Gender])</f>
        <v>S</v>
      </c>
      <c r="H18" s="19" t="e">
        <f>_xlfn.XLOOKUP(__xlnm._FilterDatabase_15[[#This Row],[SAPSA Number]],#REF!,#REF!)</f>
        <v>#REF!</v>
      </c>
      <c r="I18" s="19" t="s">
        <v>234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3"/>
        <v>9</v>
      </c>
      <c r="B19" s="25">
        <v>591</v>
      </c>
      <c r="C19" s="25" t="str">
        <f>_xlfn.XLOOKUP(__xlnm._FilterDatabase_15[[#This Row],[SAPSA Number]],Table1[SAPSA number],Table1[Paid up])</f>
        <v>Y</v>
      </c>
      <c r="D19" s="19" t="str">
        <f>_xlfn.XLOOKUP(__xlnm._FilterDatabase_15[[#This Row],[SAPSA Number]],Table1[SAPSA number],Table1[Name])</f>
        <v>Enrico</v>
      </c>
      <c r="E19" s="39" t="str">
        <f>_xlfn.XLOOKUP(__xlnm._FilterDatabase_15[[#This Row],[SAPSA Number]],Table1[SAPSA number],Table1[Surname])</f>
        <v>Cupido</v>
      </c>
      <c r="F19" s="28" t="str">
        <f>_xlfn.XLOOKUP(__xlnm._FilterDatabase_15[[#This Row],[SAPSA Number]],Table1[SAPSA number],Table1[Initials])</f>
        <v>E</v>
      </c>
      <c r="G19" s="17" t="str">
        <f ca="1">_xlfn.XLOOKUP(__xlnm._FilterDatabase_15[[#This Row],[SAPSA Number]],Table1[SAPSA number],Table1[Gender])</f>
        <v>GS</v>
      </c>
      <c r="H19" s="19" t="e">
        <f>_xlfn.XLOOKUP(__xlnm._FilterDatabase_15[[#This Row],[SAPSA Number]],#REF!,#REF!)</f>
        <v>#REF!</v>
      </c>
      <c r="I19" s="19" t="s">
        <v>234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3"/>
        <v>9</v>
      </c>
      <c r="B20" s="25">
        <v>601</v>
      </c>
      <c r="C20" s="25" t="str">
        <f>_xlfn.XLOOKUP(__xlnm._FilterDatabase_15[[#This Row],[SAPSA Number]],Table1[SAPSA number],Table1[Paid up])</f>
        <v>Y</v>
      </c>
      <c r="D20" s="19" t="str">
        <f>_xlfn.XLOOKUP(__xlnm._FilterDatabase_15[[#This Row],[SAPSA Number]],Table1[SAPSA number],Table1[Name])</f>
        <v>Piero</v>
      </c>
      <c r="E20" s="39" t="str">
        <f>_xlfn.XLOOKUP(__xlnm._FilterDatabase_15[[#This Row],[SAPSA Number]],Table1[SAPSA number],Table1[Surname])</f>
        <v>Cupido</v>
      </c>
      <c r="F20" s="28" t="str">
        <f>_xlfn.XLOOKUP(__xlnm._FilterDatabase_15[[#This Row],[SAPSA Number]],Table1[SAPSA number],Table1[Initials])</f>
        <v>P</v>
      </c>
      <c r="G20" s="17" t="str">
        <f ca="1">_xlfn.XLOOKUP(__xlnm._FilterDatabase_15[[#This Row],[SAPSA Number]],Table1[SAPSA number],Table1[Gender])</f>
        <v xml:space="preserve"> </v>
      </c>
      <c r="H20" s="19" t="e">
        <f>_xlfn.XLOOKUP(__xlnm._FilterDatabase_15[[#This Row],[SAPSA Number]],#REF!,#REF!)</f>
        <v>#REF!</v>
      </c>
      <c r="I20" s="19" t="s">
        <v>234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3"/>
        <v>9</v>
      </c>
      <c r="B21" s="25">
        <v>288</v>
      </c>
      <c r="C21" s="25" t="str">
        <f>_xlfn.XLOOKUP(__xlnm._FilterDatabase_15[[#This Row],[SAPSA Number]],Table1[SAPSA number],Table1[Paid up])</f>
        <v>Y</v>
      </c>
      <c r="D21" s="19" t="str">
        <f>_xlfn.XLOOKUP(__xlnm._FilterDatabase_15[[#This Row],[SAPSA Number]],Table1[SAPSA number],Table1[Name])</f>
        <v>Feroz</v>
      </c>
      <c r="E21" s="39" t="str">
        <f>_xlfn.XLOOKUP(__xlnm._FilterDatabase_15[[#This Row],[SAPSA Number]],Table1[SAPSA number],Table1[Surname])</f>
        <v>Daya</v>
      </c>
      <c r="F21" s="28" t="str">
        <f>_xlfn.XLOOKUP(__xlnm._FilterDatabase_15[[#This Row],[SAPSA Number]],Table1[SAPSA number],Table1[Initials])</f>
        <v>F</v>
      </c>
      <c r="G21" s="17" t="str">
        <f ca="1">_xlfn.XLOOKUP(__xlnm._FilterDatabase_15[[#This Row],[SAPSA Number]],Table1[SAPSA number],Table1[Gender])</f>
        <v>S</v>
      </c>
      <c r="H21" s="19" t="e">
        <f>_xlfn.XLOOKUP(__xlnm._FilterDatabase_15[[#This Row],[SAPSA Number]],#REF!,#REF!)</f>
        <v>#REF!</v>
      </c>
      <c r="I21" s="19" t="s">
        <v>234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3"/>
        <v>9</v>
      </c>
      <c r="B22" s="18">
        <v>6846</v>
      </c>
      <c r="C22" s="25">
        <f>_xlfn.XLOOKUP(__xlnm._FilterDatabase_15[[#This Row],[SAPSA Number]],Table1[SAPSA number],Table1[Paid up])</f>
        <v>0</v>
      </c>
      <c r="D22" s="19" t="str">
        <f>_xlfn.XLOOKUP(__xlnm._FilterDatabase_15[[#This Row],[SAPSA Number]],Table1[SAPSA number],Table1[Name])</f>
        <v>Daniel Stephanus Jacobus</v>
      </c>
      <c r="E22" s="39" t="str">
        <f>_xlfn.XLOOKUP(__xlnm._FilterDatabase_15[[#This Row],[SAPSA Number]],Table1[SAPSA number],Table1[Surname])</f>
        <v>Dreyer</v>
      </c>
      <c r="F22" s="28" t="str">
        <f>_xlfn.XLOOKUP(__xlnm._FilterDatabase_15[[#This Row],[SAPSA Number]],Table1[SAPSA number],Table1[Initials])</f>
        <v>DSJ</v>
      </c>
      <c r="G22" s="17" t="str">
        <f ca="1">_xlfn.XLOOKUP(__xlnm._FilterDatabase_15[[#This Row],[SAPSA Number]],Table1[SAPSA number],Table1[Gender])</f>
        <v xml:space="preserve"> </v>
      </c>
      <c r="H22" s="19" t="e">
        <f>_xlfn.XLOOKUP(__xlnm._FilterDatabase_15[[#This Row],[SAPSA Number]],#REF!,#REF!)</f>
        <v>#REF!</v>
      </c>
      <c r="I22" s="19" t="s">
        <v>234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3"/>
        <v>9</v>
      </c>
      <c r="B23" s="25">
        <v>392</v>
      </c>
      <c r="C23" s="25" t="str">
        <f>_xlfn.XLOOKUP(__xlnm._FilterDatabase_15[[#This Row],[SAPSA Number]],Table1[SAPSA number],Table1[Paid up])</f>
        <v>Y</v>
      </c>
      <c r="D23" s="19" t="str">
        <f>_xlfn.XLOOKUP(__xlnm._FilterDatabase_15[[#This Row],[SAPSA Number]],Table1[SAPSA number],Table1[Name])</f>
        <v>Sasha-Lee</v>
      </c>
      <c r="E23" s="39" t="str">
        <f>_xlfn.XLOOKUP(__xlnm._FilterDatabase_15[[#This Row],[SAPSA Number]],Table1[SAPSA number],Table1[Surname])</f>
        <v>Du Plessis</v>
      </c>
      <c r="F23" s="28" t="str">
        <f>_xlfn.XLOOKUP(__xlnm._FilterDatabase_15[[#This Row],[SAPSA Number]],Table1[SAPSA number],Table1[Initials])</f>
        <v>SL</v>
      </c>
      <c r="G23" s="17" t="str">
        <f>_xlfn.XLOOKUP(__xlnm._FilterDatabase_15[[#This Row],[SAPSA Number]],Table1[SAPSA number],Table1[Gender])</f>
        <v>Lady</v>
      </c>
      <c r="H23" s="19" t="e">
        <f>_xlfn.XLOOKUP(__xlnm._FilterDatabase_15[[#This Row],[SAPSA Number]],#REF!,#REF!)</f>
        <v>#REF!</v>
      </c>
      <c r="I23" s="19" t="s">
        <v>234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3"/>
        <v>9</v>
      </c>
      <c r="B24" s="18">
        <v>127</v>
      </c>
      <c r="C24" s="25" t="str">
        <f>_xlfn.XLOOKUP(__xlnm._FilterDatabase_15[[#This Row],[SAPSA Number]],Table1[SAPSA number],Table1[Paid up])</f>
        <v>Y</v>
      </c>
      <c r="D24" s="19" t="str">
        <f>_xlfn.XLOOKUP(__xlnm._FilterDatabase_15[[#This Row],[SAPSA Number]],Table1[SAPSA number],Table1[Name])</f>
        <v>Eurika Susara</v>
      </c>
      <c r="E24" s="39" t="str">
        <f>_xlfn.XLOOKUP(__xlnm._FilterDatabase_15[[#This Row],[SAPSA Number]],Table1[SAPSA number],Table1[Surname])</f>
        <v>Du Plooy</v>
      </c>
      <c r="F24" s="28" t="str">
        <f>_xlfn.XLOOKUP(__xlnm._FilterDatabase_15[[#This Row],[SAPSA Number]],Table1[SAPSA number],Table1[Initials])</f>
        <v>E</v>
      </c>
      <c r="G24" s="17" t="str">
        <f>_xlfn.XLOOKUP(__xlnm._FilterDatabase_15[[#This Row],[SAPSA Number]],Table1[SAPSA number],Table1[Gender])</f>
        <v>SS</v>
      </c>
      <c r="H24" s="19" t="e">
        <f>_xlfn.XLOOKUP(__xlnm._FilterDatabase_15[[#This Row],[SAPSA Number]],#REF!,#REF!)</f>
        <v>#REF!</v>
      </c>
      <c r="I24" s="19" t="s">
        <v>234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3"/>
        <v>9</v>
      </c>
      <c r="B25" s="25">
        <v>3173</v>
      </c>
      <c r="C25" s="25" t="str">
        <f>_xlfn.XLOOKUP(__xlnm._FilterDatabase_15[[#This Row],[SAPSA Number]],Table1[SAPSA number],Table1[Paid up])</f>
        <v>Y</v>
      </c>
      <c r="D25" s="19" t="str">
        <f>_xlfn.XLOOKUP(__xlnm._FilterDatabase_15[[#This Row],[SAPSA Number]],Table1[SAPSA number],Table1[Name])</f>
        <v>Garrett-John</v>
      </c>
      <c r="E25" s="39" t="str">
        <f>_xlfn.XLOOKUP(__xlnm._FilterDatabase_15[[#This Row],[SAPSA Number]],Table1[SAPSA number],Table1[Surname])</f>
        <v>Evans</v>
      </c>
      <c r="F25" s="28" t="str">
        <f>_xlfn.XLOOKUP(__xlnm._FilterDatabase_15[[#This Row],[SAPSA Number]],Table1[SAPSA number],Table1[Initials])</f>
        <v>G-J</v>
      </c>
      <c r="G25" s="17" t="str">
        <f ca="1">_xlfn.XLOOKUP(__xlnm._FilterDatabase_15[[#This Row],[SAPSA Number]],Table1[SAPSA number],Table1[Gender])</f>
        <v xml:space="preserve"> </v>
      </c>
      <c r="H25" s="19" t="e">
        <f>_xlfn.XLOOKUP(__xlnm._FilterDatabase_15[[#This Row],[SAPSA Number]],#REF!,#REF!)</f>
        <v>#REF!</v>
      </c>
      <c r="I25" s="19" t="s">
        <v>234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3"/>
        <v>9</v>
      </c>
      <c r="B26" s="25">
        <v>3172</v>
      </c>
      <c r="C26" s="25" t="str">
        <f>_xlfn.XLOOKUP(__xlnm._FilterDatabase_15[[#This Row],[SAPSA Number]],Table1[SAPSA number],Table1[Paid up])</f>
        <v>Y</v>
      </c>
      <c r="D26" s="19" t="str">
        <f>_xlfn.XLOOKUP(__xlnm._FilterDatabase_15[[#This Row],[SAPSA Number]],Table1[SAPSA number],Table1[Name])</f>
        <v>Mervyn-John</v>
      </c>
      <c r="E26" s="39" t="str">
        <f>_xlfn.XLOOKUP(__xlnm._FilterDatabase_15[[#This Row],[SAPSA Number]],Table1[SAPSA number],Table1[Surname])</f>
        <v>Evans</v>
      </c>
      <c r="F26" s="28" t="str">
        <f>_xlfn.XLOOKUP(__xlnm._FilterDatabase_15[[#This Row],[SAPSA Number]],Table1[SAPSA number],Table1[Initials])</f>
        <v>MJ</v>
      </c>
      <c r="G26" s="17" t="str">
        <f ca="1">_xlfn.XLOOKUP(__xlnm._FilterDatabase_15[[#This Row],[SAPSA Number]],Table1[SAPSA number],Table1[Gender])</f>
        <v>SS</v>
      </c>
      <c r="H26" s="19" t="e">
        <f>_xlfn.XLOOKUP(__xlnm._FilterDatabase_15[[#This Row],[SAPSA Number]],#REF!,#REF!)</f>
        <v>#REF!</v>
      </c>
      <c r="I26" s="19" t="s">
        <v>234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3"/>
        <v>9</v>
      </c>
      <c r="B27" s="25">
        <v>393</v>
      </c>
      <c r="C27" s="25" t="str">
        <f>_xlfn.XLOOKUP(__xlnm._FilterDatabase_15[[#This Row],[SAPSA Number]],Table1[SAPSA number],Table1[Paid up])</f>
        <v>Y</v>
      </c>
      <c r="D27" s="19" t="str">
        <f>_xlfn.XLOOKUP(__xlnm._FilterDatabase_15[[#This Row],[SAPSA Number]],Table1[SAPSA number],Table1[Name])</f>
        <v>Robyn Angela</v>
      </c>
      <c r="E27" s="39" t="str">
        <f>_xlfn.XLOOKUP(__xlnm._FilterDatabase_15[[#This Row],[SAPSA Number]],Table1[SAPSA number],Table1[Surname])</f>
        <v>Evans</v>
      </c>
      <c r="F27" s="28" t="str">
        <f>_xlfn.XLOOKUP(__xlnm._FilterDatabase_15[[#This Row],[SAPSA Number]],Table1[SAPSA number],Table1[Initials])</f>
        <v>RA</v>
      </c>
      <c r="G27" s="17" t="str">
        <f>_xlfn.XLOOKUP(__xlnm._FilterDatabase_15[[#This Row],[SAPSA Number]],Table1[SAPSA number],Table1[Gender])</f>
        <v>Lady</v>
      </c>
      <c r="H27" s="19" t="e">
        <f>_xlfn.XLOOKUP(__xlnm._FilterDatabase_15[[#This Row],[SAPSA Number]],#REF!,#REF!)</f>
        <v>#REF!</v>
      </c>
      <c r="I27" s="19" t="s">
        <v>234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3"/>
        <v>9</v>
      </c>
      <c r="B28" s="25">
        <v>3782</v>
      </c>
      <c r="C28" s="25">
        <f>_xlfn.XLOOKUP(__xlnm._FilterDatabase_15[[#This Row],[SAPSA Number]],Table1[SAPSA number],Table1[Paid up])</f>
        <v>0</v>
      </c>
      <c r="D28" s="19" t="str">
        <f>_xlfn.XLOOKUP(__xlnm._FilterDatabase_15[[#This Row],[SAPSA Number]],Table1[SAPSA number],Table1[Name])</f>
        <v>Gary Athol</v>
      </c>
      <c r="E28" s="39" t="str">
        <f>_xlfn.XLOOKUP(__xlnm._FilterDatabase_15[[#This Row],[SAPSA Number]],Table1[SAPSA number],Table1[Surname])</f>
        <v>Hagemann</v>
      </c>
      <c r="F28" s="28" t="str">
        <f>_xlfn.XLOOKUP(__xlnm._FilterDatabase_15[[#This Row],[SAPSA Number]],Table1[SAPSA number],Table1[Initials])</f>
        <v>GA</v>
      </c>
      <c r="G28" s="17" t="str">
        <f ca="1">_xlfn.XLOOKUP(__xlnm._FilterDatabase_15[[#This Row],[SAPSA Number]],Table1[SAPSA number],Table1[Gender])</f>
        <v>S</v>
      </c>
      <c r="H28" s="19" t="e">
        <f>_xlfn.XLOOKUP(__xlnm._FilterDatabase_15[[#This Row],[SAPSA Number]],#REF!,#REF!)</f>
        <v>#REF!</v>
      </c>
      <c r="I28" s="19" t="s">
        <v>234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3"/>
        <v>9</v>
      </c>
      <c r="B29" s="25">
        <v>6308</v>
      </c>
      <c r="C29" s="25">
        <f>_xlfn.XLOOKUP(__xlnm._FilterDatabase_15[[#This Row],[SAPSA Number]],Table1[SAPSA number],Table1[Paid up])</f>
        <v>0</v>
      </c>
      <c r="D29" s="19" t="str">
        <f>_xlfn.XLOOKUP(__xlnm._FilterDatabase_15[[#This Row],[SAPSA Number]],Table1[SAPSA number],Table1[Name])</f>
        <v>James Matthew</v>
      </c>
      <c r="E29" s="39" t="str">
        <f>_xlfn.XLOOKUP(__xlnm._FilterDatabase_15[[#This Row],[SAPSA Number]],Table1[SAPSA number],Table1[Surname])</f>
        <v>Hagemann</v>
      </c>
      <c r="F29" s="28" t="str">
        <f>_xlfn.XLOOKUP(__xlnm._FilterDatabase_15[[#This Row],[SAPSA Number]],Table1[SAPSA number],Table1[Initials])</f>
        <v>JM</v>
      </c>
      <c r="G29" s="17" t="str">
        <f ca="1">_xlfn.XLOOKUP(__xlnm._FilterDatabase_15[[#This Row],[SAPSA Number]],Table1[SAPSA number],Table1[Gender])</f>
        <v>Jnr</v>
      </c>
      <c r="H29" s="19" t="e">
        <f>_xlfn.XLOOKUP(__xlnm._FilterDatabase_15[[#This Row],[SAPSA Number]],#REF!,#REF!)</f>
        <v>#REF!</v>
      </c>
      <c r="I29" s="19" t="s">
        <v>234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3"/>
        <v>9</v>
      </c>
      <c r="B30" s="25">
        <v>7328</v>
      </c>
      <c r="C30" s="25" t="str">
        <f>_xlfn.XLOOKUP(__xlnm._FilterDatabase_15[[#This Row],[SAPSA Number]],Table1[SAPSA number],Table1[Paid up])</f>
        <v>Y</v>
      </c>
      <c r="D30" s="19" t="str">
        <f>_xlfn.XLOOKUP(__xlnm._FilterDatabase_15[[#This Row],[SAPSA Number]],Table1[SAPSA number],Table1[Name])</f>
        <v>Sizwe</v>
      </c>
      <c r="E30" s="39" t="str">
        <f>_xlfn.XLOOKUP(__xlnm._FilterDatabase_15[[#This Row],[SAPSA Number]],Table1[SAPSA number],Table1[Surname])</f>
        <v>Hlongwane</v>
      </c>
      <c r="F30" s="28" t="str">
        <f>_xlfn.XLOOKUP(__xlnm._FilterDatabase_15[[#This Row],[SAPSA Number]],Table1[SAPSA number],Table1[Initials])</f>
        <v>S</v>
      </c>
      <c r="G30" s="17" t="str">
        <f ca="1">_xlfn.XLOOKUP(__xlnm._FilterDatabase_15[[#This Row],[SAPSA Number]],Table1[SAPSA number],Table1[Gender])</f>
        <v xml:space="preserve"> </v>
      </c>
      <c r="H30" s="19" t="e">
        <f>_xlfn.XLOOKUP(__xlnm._FilterDatabase_15[[#This Row],[SAPSA Number]],#REF!,#REF!)</f>
        <v>#REF!</v>
      </c>
      <c r="I30" s="19" t="s">
        <v>234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9</v>
      </c>
      <c r="B31" s="25">
        <v>7271</v>
      </c>
      <c r="C31" s="25" t="str">
        <f>_xlfn.XLOOKUP(__xlnm._FilterDatabase_15[[#This Row],[SAPSA Number]],Table1[SAPSA number],Table1[Paid up])</f>
        <v>Y</v>
      </c>
      <c r="D31" s="19" t="str">
        <f>_xlfn.XLOOKUP(__xlnm._FilterDatabase_15[[#This Row],[SAPSA Number]],Table1[SAPSA number],Table1[Name])</f>
        <v>Johan</v>
      </c>
      <c r="E31" s="39" t="str">
        <f>_xlfn.XLOOKUP(__xlnm._FilterDatabase_15[[#This Row],[SAPSA Number]],Table1[SAPSA number],Table1[Surname])</f>
        <v>Jacobs</v>
      </c>
      <c r="F31" s="28" t="str">
        <f>_xlfn.XLOOKUP(__xlnm._FilterDatabase_15[[#This Row],[SAPSA Number]],Table1[SAPSA number],Table1[Initials])</f>
        <v>J</v>
      </c>
      <c r="G31" s="17" t="str">
        <f ca="1">_xlfn.XLOOKUP(__xlnm._FilterDatabase_15[[#This Row],[SAPSA Number]],Table1[SAPSA number],Table1[Gender])</f>
        <v xml:space="preserve"> </v>
      </c>
      <c r="H31" s="19" t="e">
        <f>_xlfn.XLOOKUP(__xlnm._FilterDatabase_15[[#This Row],[SAPSA Number]],#REF!,#REF!)</f>
        <v>#REF!</v>
      </c>
      <c r="I31" s="19" t="s">
        <v>234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9</v>
      </c>
      <c r="B32" s="18">
        <v>3339</v>
      </c>
      <c r="C32" s="25" t="str">
        <f>_xlfn.XLOOKUP(__xlnm._FilterDatabase_15[[#This Row],[SAPSA Number]],Table1[SAPSA number],Table1[Paid up])</f>
        <v>Y</v>
      </c>
      <c r="D32" s="19" t="str">
        <f>_xlfn.XLOOKUP(__xlnm._FilterDatabase_15[[#This Row],[SAPSA Number]],Table1[SAPSA number],Table1[Name])</f>
        <v>Hendrik Johannes</v>
      </c>
      <c r="E32" s="39" t="str">
        <f>_xlfn.XLOOKUP(__xlnm._FilterDatabase_15[[#This Row],[SAPSA Number]],Table1[SAPSA number],Table1[Surname])</f>
        <v>Joubert</v>
      </c>
      <c r="F32" s="28" t="str">
        <f>_xlfn.XLOOKUP(__xlnm._FilterDatabase_15[[#This Row],[SAPSA Number]],Table1[SAPSA number],Table1[Initials])</f>
        <v>HJ</v>
      </c>
      <c r="G32" s="17" t="str">
        <f ca="1">_xlfn.XLOOKUP(__xlnm._FilterDatabase_15[[#This Row],[SAPSA Number]],Table1[SAPSA number],Table1[Gender])</f>
        <v>S</v>
      </c>
      <c r="H32" s="19" t="e">
        <f>_xlfn.XLOOKUP(__xlnm._FilterDatabase_15[[#This Row],[SAPSA Number]],#REF!,#REF!)</f>
        <v>#REF!</v>
      </c>
      <c r="I32" s="19" t="s">
        <v>234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3"/>
        <v>9</v>
      </c>
      <c r="B33" s="25">
        <v>2655</v>
      </c>
      <c r="C33" s="25" t="str">
        <f>_xlfn.XLOOKUP(__xlnm._FilterDatabase_15[[#This Row],[SAPSA Number]],Table1[SAPSA number],Table1[Paid up])</f>
        <v>Y</v>
      </c>
      <c r="D33" s="19" t="str">
        <f>_xlfn.XLOOKUP(__xlnm._FilterDatabase_15[[#This Row],[SAPSA Number]],Table1[SAPSA number],Table1[Name])</f>
        <v>Ruben</v>
      </c>
      <c r="E33" s="39" t="str">
        <f>_xlfn.XLOOKUP(__xlnm._FilterDatabase_15[[#This Row],[SAPSA Number]],Table1[SAPSA number],Table1[Surname])</f>
        <v>Joubert</v>
      </c>
      <c r="F33" s="28" t="str">
        <f>_xlfn.XLOOKUP(__xlnm._FilterDatabase_15[[#This Row],[SAPSA Number]],Table1[SAPSA number],Table1[Initials])</f>
        <v>R</v>
      </c>
      <c r="G33" s="17" t="str">
        <f ca="1">_xlfn.XLOOKUP(__xlnm._FilterDatabase_15[[#This Row],[SAPSA Number]],Table1[SAPSA number],Table1[Gender])</f>
        <v>Jnr</v>
      </c>
      <c r="H33" s="19" t="e">
        <f>_xlfn.XLOOKUP(__xlnm._FilterDatabase_15[[#This Row],[SAPSA Number]],#REF!,#REF!)</f>
        <v>#REF!</v>
      </c>
      <c r="I33" s="19" t="s">
        <v>234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3"/>
        <v>9</v>
      </c>
      <c r="B34" s="18">
        <v>4094</v>
      </c>
      <c r="C34" s="25" t="str">
        <f>_xlfn.XLOOKUP(__xlnm._FilterDatabase_15[[#This Row],[SAPSA Number]],Table1[SAPSA number],Table1[Paid up])</f>
        <v>Y</v>
      </c>
      <c r="D34" s="19" t="str">
        <f>_xlfn.XLOOKUP(__xlnm._FilterDatabase_15[[#This Row],[SAPSA Number]],Table1[SAPSA number],Table1[Name])</f>
        <v>Johan</v>
      </c>
      <c r="E34" s="39" t="str">
        <f>_xlfn.XLOOKUP(__xlnm._FilterDatabase_15[[#This Row],[SAPSA Number]],Table1[SAPSA number],Table1[Surname])</f>
        <v>Kemp</v>
      </c>
      <c r="F34" s="28" t="str">
        <f>_xlfn.XLOOKUP(__xlnm._FilterDatabase_15[[#This Row],[SAPSA Number]],Table1[SAPSA number],Table1[Initials])</f>
        <v>J</v>
      </c>
      <c r="G34" s="17" t="str">
        <f ca="1">_xlfn.XLOOKUP(__xlnm._FilterDatabase_15[[#This Row],[SAPSA Number]],Table1[SAPSA number],Table1[Gender])</f>
        <v xml:space="preserve"> </v>
      </c>
      <c r="H34" s="19" t="e">
        <f>_xlfn.XLOOKUP(__xlnm._FilterDatabase_15[[#This Row],[SAPSA Number]],#REF!,#REF!)</f>
        <v>#REF!</v>
      </c>
      <c r="I34" s="19" t="s">
        <v>234</v>
      </c>
      <c r="J34" s="21">
        <f t="shared" ref="J34:J70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3"/>
        <v>9</v>
      </c>
      <c r="B35" s="25">
        <v>7260</v>
      </c>
      <c r="C35" s="25">
        <f>_xlfn.XLOOKUP(__xlnm._FilterDatabase_15[[#This Row],[SAPSA Number]],Table1[SAPSA number],Table1[Paid up])</f>
        <v>0</v>
      </c>
      <c r="D35" s="19" t="str">
        <f>_xlfn.XLOOKUP(__xlnm._FilterDatabase_15[[#This Row],[SAPSA Number]],Table1[SAPSA number],Table1[Name])</f>
        <v>Glenn</v>
      </c>
      <c r="E35" s="39" t="str">
        <f>_xlfn.XLOOKUP(__xlnm._FilterDatabase_15[[#This Row],[SAPSA Number]],Table1[SAPSA number],Table1[Surname])</f>
        <v>Kieser</v>
      </c>
      <c r="F35" s="28" t="str">
        <f>_xlfn.XLOOKUP(__xlnm._FilterDatabase_15[[#This Row],[SAPSA Number]],Table1[SAPSA number],Table1[Initials])</f>
        <v>G</v>
      </c>
      <c r="G35" s="17" t="str">
        <f ca="1">_xlfn.XLOOKUP(__xlnm._FilterDatabase_15[[#This Row],[SAPSA Number]],Table1[SAPSA number],Table1[Gender])</f>
        <v>SS</v>
      </c>
      <c r="H35" s="19" t="e">
        <f>_xlfn.XLOOKUP(__xlnm._FilterDatabase_15[[#This Row],[SAPSA Number]],#REF!,#REF!)</f>
        <v>#REF!</v>
      </c>
      <c r="I35" s="19" t="s">
        <v>234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3"/>
        <v>9</v>
      </c>
      <c r="B36" s="25">
        <v>252</v>
      </c>
      <c r="C36" s="25" t="str">
        <f>_xlfn.XLOOKUP(__xlnm._FilterDatabase_15[[#This Row],[SAPSA Number]],Table1[SAPSA number],Table1[Paid up])</f>
        <v>Y</v>
      </c>
      <c r="D36" s="19" t="str">
        <f>_xlfn.XLOOKUP(__xlnm._FilterDatabase_15[[#This Row],[SAPSA Number]],Table1[SAPSA number],Table1[Name])</f>
        <v>Deon</v>
      </c>
      <c r="E36" s="39" t="str">
        <f>_xlfn.XLOOKUP(__xlnm._FilterDatabase_15[[#This Row],[SAPSA Number]],Table1[SAPSA number],Table1[Surname])</f>
        <v>Labuschagne</v>
      </c>
      <c r="F36" s="28" t="str">
        <f>_xlfn.XLOOKUP(__xlnm._FilterDatabase_15[[#This Row],[SAPSA Number]],Table1[SAPSA number],Table1[Initials])</f>
        <v>D</v>
      </c>
      <c r="G36" s="17" t="str">
        <f ca="1">_xlfn.XLOOKUP(__xlnm._FilterDatabase_15[[#This Row],[SAPSA Number]],Table1[SAPSA number],Table1[Gender])</f>
        <v>GS</v>
      </c>
      <c r="H36" s="19" t="e">
        <f>_xlfn.XLOOKUP(__xlnm._FilterDatabase_15[[#This Row],[SAPSA Number]],#REF!,#REF!)</f>
        <v>#REF!</v>
      </c>
      <c r="I36" s="19" t="s">
        <v>234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9</v>
      </c>
      <c r="B37" s="18">
        <v>4862</v>
      </c>
      <c r="C37" s="25" t="str">
        <f>_xlfn.XLOOKUP(__xlnm._FilterDatabase_15[[#This Row],[SAPSA Number]],Table1[SAPSA number],Table1[Paid up])</f>
        <v>Y</v>
      </c>
      <c r="D37" s="19" t="str">
        <f>_xlfn.XLOOKUP(__xlnm._FilterDatabase_15[[#This Row],[SAPSA Number]],Table1[SAPSA number],Table1[Name])</f>
        <v>George Keith</v>
      </c>
      <c r="E37" s="39" t="str">
        <f>_xlfn.XLOOKUP(__xlnm._FilterDatabase_15[[#This Row],[SAPSA Number]],Table1[SAPSA number],Table1[Surname])</f>
        <v>Marais</v>
      </c>
      <c r="F37" s="28" t="str">
        <f>_xlfn.XLOOKUP(__xlnm._FilterDatabase_15[[#This Row],[SAPSA Number]],Table1[SAPSA number],Table1[Initials])</f>
        <v>GK</v>
      </c>
      <c r="G37" s="17" t="str">
        <f ca="1">_xlfn.XLOOKUP(__xlnm._FilterDatabase_15[[#This Row],[SAPSA Number]],Table1[SAPSA number],Table1[Gender])</f>
        <v>S</v>
      </c>
      <c r="H37" s="19" t="e">
        <f>_xlfn.XLOOKUP(__xlnm._FilterDatabase_15[[#This Row],[SAPSA Number]],#REF!,#REF!)</f>
        <v>#REF!</v>
      </c>
      <c r="I37" s="19" t="s">
        <v>234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9</v>
      </c>
      <c r="B38" s="25">
        <v>683</v>
      </c>
      <c r="C38" s="25">
        <f>_xlfn.XLOOKUP(__xlnm._FilterDatabase_15[[#This Row],[SAPSA Number]],Table1[SAPSA number],Table1[Paid up])</f>
        <v>0</v>
      </c>
      <c r="D38" s="19" t="str">
        <f>_xlfn.XLOOKUP(__xlnm._FilterDatabase_15[[#This Row],[SAPSA Number]],Table1[SAPSA number],Table1[Name])</f>
        <v>Ivor</v>
      </c>
      <c r="E38" s="39" t="str">
        <f>_xlfn.XLOOKUP(__xlnm._FilterDatabase_15[[#This Row],[SAPSA Number]],Table1[SAPSA number],Table1[Surname])</f>
        <v>Marais</v>
      </c>
      <c r="F38" s="28" t="str">
        <f>_xlfn.XLOOKUP(__xlnm._FilterDatabase_15[[#This Row],[SAPSA Number]],Table1[SAPSA number],Table1[Initials])</f>
        <v>I</v>
      </c>
      <c r="G38" s="17" t="str">
        <f ca="1">_xlfn.XLOOKUP(__xlnm._FilterDatabase_15[[#This Row],[SAPSA Number]],Table1[SAPSA number],Table1[Gender])</f>
        <v>S</v>
      </c>
      <c r="H38" s="19" t="e">
        <f>_xlfn.XLOOKUP(__xlnm._FilterDatabase_15[[#This Row],[SAPSA Number]],#REF!,#REF!)</f>
        <v>#REF!</v>
      </c>
      <c r="I38" s="19" t="s">
        <v>234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9</v>
      </c>
      <c r="B39" s="26">
        <v>6966</v>
      </c>
      <c r="C39" s="25" t="str">
        <f>_xlfn.XLOOKUP(__xlnm._FilterDatabase_15[[#This Row],[SAPSA Number]],Table1[SAPSA number],Table1[Paid up])</f>
        <v>Y</v>
      </c>
      <c r="D39" s="19" t="str">
        <f>_xlfn.XLOOKUP(__xlnm._FilterDatabase_15[[#This Row],[SAPSA Number]],Table1[SAPSA number],Table1[Name])</f>
        <v>James</v>
      </c>
      <c r="E39" s="39" t="str">
        <f>_xlfn.XLOOKUP(__xlnm._FilterDatabase_15[[#This Row],[SAPSA Number]],Table1[SAPSA number],Table1[Surname])</f>
        <v>Masonganye</v>
      </c>
      <c r="F39" s="28" t="str">
        <f>_xlfn.XLOOKUP(__xlnm._FilterDatabase_15[[#This Row],[SAPSA Number]],Table1[SAPSA number],Table1[Initials])</f>
        <v>J</v>
      </c>
      <c r="G39" s="17" t="str">
        <f ca="1">_xlfn.XLOOKUP(__xlnm._FilterDatabase_15[[#This Row],[SAPSA Number]],Table1[SAPSA number],Table1[Gender])</f>
        <v>S</v>
      </c>
      <c r="H39" s="19" t="e">
        <f>_xlfn.XLOOKUP(__xlnm._FilterDatabase_15[[#This Row],[SAPSA Number]],#REF!,#REF!)</f>
        <v>#REF!</v>
      </c>
      <c r="I39" s="19" t="s">
        <v>234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9</v>
      </c>
      <c r="B40" s="18">
        <v>7132</v>
      </c>
      <c r="C40" s="25" t="str">
        <f>_xlfn.XLOOKUP(__xlnm._FilterDatabase_15[[#This Row],[SAPSA Number]],Table1[SAPSA number],Table1[Paid up])</f>
        <v>Y</v>
      </c>
      <c r="D40" s="19" t="str">
        <f>_xlfn.XLOOKUP(__xlnm._FilterDatabase_15[[#This Row],[SAPSA Number]],Table1[SAPSA number],Table1[Name])</f>
        <v>Yussuf</v>
      </c>
      <c r="E40" s="39" t="str">
        <f>_xlfn.XLOOKUP(__xlnm._FilterDatabase_15[[#This Row],[SAPSA Number]],Table1[SAPSA number],Table1[Surname])</f>
        <v>Mayet</v>
      </c>
      <c r="F40" s="28" t="str">
        <f>_xlfn.XLOOKUP(__xlnm._FilterDatabase_15[[#This Row],[SAPSA Number]],Table1[SAPSA number],Table1[Initials])</f>
        <v>Y</v>
      </c>
      <c r="G40" s="17" t="str">
        <f ca="1">_xlfn.XLOOKUP(__xlnm._FilterDatabase_15[[#This Row],[SAPSA Number]],Table1[SAPSA number],Table1[Gender])</f>
        <v>GS</v>
      </c>
      <c r="H40" s="19" t="e">
        <f>_xlfn.XLOOKUP(__xlnm._FilterDatabase_15[[#This Row],[SAPSA Number]],#REF!,#REF!)</f>
        <v>#REF!</v>
      </c>
      <c r="I40" s="19" t="s">
        <v>234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si="3"/>
        <v>9</v>
      </c>
      <c r="B41" s="25">
        <v>851</v>
      </c>
      <c r="C41" s="25" t="str">
        <f>_xlfn.XLOOKUP(__xlnm._FilterDatabase_15[[#This Row],[SAPSA Number]],Table1[SAPSA number],Table1[Paid up])</f>
        <v>Y</v>
      </c>
      <c r="D41" s="19" t="str">
        <f>_xlfn.XLOOKUP(__xlnm._FilterDatabase_15[[#This Row],[SAPSA Number]],Table1[SAPSA number],Table1[Name])</f>
        <v>Ian David</v>
      </c>
      <c r="E41" s="39" t="str">
        <f>_xlfn.XLOOKUP(__xlnm._FilterDatabase_15[[#This Row],[SAPSA Number]],Table1[SAPSA number],Table1[Surname])</f>
        <v>McLaren</v>
      </c>
      <c r="F41" s="28" t="str">
        <f>_xlfn.XLOOKUP(__xlnm._FilterDatabase_15[[#This Row],[SAPSA Number]],Table1[SAPSA number],Table1[Initials])</f>
        <v>ID</v>
      </c>
      <c r="G41" s="17" t="str">
        <f ca="1">_xlfn.XLOOKUP(__xlnm._FilterDatabase_15[[#This Row],[SAPSA Number]],Table1[SAPSA number],Table1[Gender])</f>
        <v>SS</v>
      </c>
      <c r="H41" s="19" t="e">
        <f>_xlfn.XLOOKUP(__xlnm._FilterDatabase_15[[#This Row],[SAPSA Number]],#REF!,#REF!)</f>
        <v>#REF!</v>
      </c>
      <c r="I41" s="19" t="s">
        <v>234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4" customHeight="1" x14ac:dyDescent="0.3">
      <c r="A42" s="17">
        <f t="shared" ref="A42:A70" si="6">RANK(K42,K$2:K$149,0)</f>
        <v>9</v>
      </c>
      <c r="B42" s="18">
        <v>5200</v>
      </c>
      <c r="C42" s="25">
        <f>_xlfn.XLOOKUP(__xlnm._FilterDatabase_15[[#This Row],[SAPSA Number]],Table1[SAPSA number],Table1[Paid up])</f>
        <v>0</v>
      </c>
      <c r="D42" s="19" t="str">
        <f>_xlfn.XLOOKUP(__xlnm._FilterDatabase_15[[#This Row],[SAPSA Number]],Table1[SAPSA number],Table1[Name])</f>
        <v>Daniel</v>
      </c>
      <c r="E42" s="39" t="str">
        <f>_xlfn.XLOOKUP(__xlnm._FilterDatabase_15[[#This Row],[SAPSA Number]],Table1[SAPSA number],Table1[Surname])</f>
        <v>McWilliam</v>
      </c>
      <c r="F42" s="28" t="str">
        <f>_xlfn.XLOOKUP(__xlnm._FilterDatabase_15[[#This Row],[SAPSA Number]],Table1[SAPSA number],Table1[Initials])</f>
        <v>D</v>
      </c>
      <c r="G42" s="17" t="str">
        <f ca="1">_xlfn.XLOOKUP(__xlnm._FilterDatabase_15[[#This Row],[SAPSA Number]],Table1[SAPSA number],Table1[Gender])</f>
        <v xml:space="preserve"> </v>
      </c>
      <c r="H42" s="19" t="e">
        <f>_xlfn.XLOOKUP(__xlnm._FilterDatabase_15[[#This Row],[SAPSA Number]],#REF!,#REF!)</f>
        <v>#REF!</v>
      </c>
      <c r="I42" s="19" t="s">
        <v>234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6"/>
        <v>9</v>
      </c>
      <c r="B43" s="26">
        <v>1771</v>
      </c>
      <c r="C43" s="25" t="str">
        <f>_xlfn.XLOOKUP(__xlnm._FilterDatabase_15[[#This Row],[SAPSA Number]],Table1[SAPSA number],Table1[Paid up])</f>
        <v>Y</v>
      </c>
      <c r="D43" s="19" t="str">
        <f>_xlfn.XLOOKUP(__xlnm._FilterDatabase_15[[#This Row],[SAPSA Number]],Table1[SAPSA number],Table1[Name])</f>
        <v>Rodney Ralph</v>
      </c>
      <c r="E43" s="39" t="str">
        <f>_xlfn.XLOOKUP(__xlnm._FilterDatabase_15[[#This Row],[SAPSA Number]],Table1[SAPSA number],Table1[Surname])</f>
        <v>Mills</v>
      </c>
      <c r="F43" s="28" t="str">
        <f>_xlfn.XLOOKUP(__xlnm._FilterDatabase_15[[#This Row],[SAPSA Number]],Table1[SAPSA number],Table1[Initials])</f>
        <v>RR</v>
      </c>
      <c r="G43" s="17" t="str">
        <f ca="1">_xlfn.XLOOKUP(__xlnm._FilterDatabase_15[[#This Row],[SAPSA Number]],Table1[SAPSA number],Table1[Gender])</f>
        <v>GS</v>
      </c>
      <c r="H43" s="19" t="e">
        <f>_xlfn.XLOOKUP(__xlnm._FilterDatabase_15[[#This Row],[SAPSA Number]],#REF!,#REF!)</f>
        <v>#REF!</v>
      </c>
      <c r="I43" s="19" t="s">
        <v>234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6"/>
        <v>9</v>
      </c>
      <c r="B44" s="25">
        <v>1637</v>
      </c>
      <c r="C44" s="25">
        <f>_xlfn.XLOOKUP(__xlnm._FilterDatabase_15[[#This Row],[SAPSA Number]],Table1[SAPSA number],Table1[Paid up])</f>
        <v>0</v>
      </c>
      <c r="D44" s="19" t="str">
        <f>_xlfn.XLOOKUP(__xlnm._FilterDatabase_15[[#This Row],[SAPSA Number]],Table1[SAPSA number],Table1[Name])</f>
        <v>Andre Johann Pieter</v>
      </c>
      <c r="E44" s="39" t="str">
        <f>_xlfn.XLOOKUP(__xlnm._FilterDatabase_15[[#This Row],[SAPSA Number]],Table1[SAPSA number],Table1[Surname])</f>
        <v>Mouton</v>
      </c>
      <c r="F44" s="28" t="str">
        <f>_xlfn.XLOOKUP(__xlnm._FilterDatabase_15[[#This Row],[SAPSA Number]],Table1[SAPSA number],Table1[Initials])</f>
        <v>AJP</v>
      </c>
      <c r="G44" s="17" t="str">
        <f ca="1">_xlfn.XLOOKUP(__xlnm._FilterDatabase_15[[#This Row],[SAPSA Number]],Table1[SAPSA number],Table1[Gender])</f>
        <v>GS</v>
      </c>
      <c r="H44" s="19" t="e">
        <f>_xlfn.XLOOKUP(__xlnm._FilterDatabase_15[[#This Row],[SAPSA Number]],#REF!,#REF!)</f>
        <v>#REF!</v>
      </c>
      <c r="I44" s="19" t="s">
        <v>234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6"/>
        <v>9</v>
      </c>
      <c r="B45" s="18">
        <v>1777</v>
      </c>
      <c r="C45" s="25" t="str">
        <f>_xlfn.XLOOKUP(__xlnm._FilterDatabase_15[[#This Row],[SAPSA Number]],Table1[SAPSA number],Table1[Paid up])</f>
        <v>Y</v>
      </c>
      <c r="D45" s="19" t="str">
        <f>_xlfn.XLOOKUP(__xlnm._FilterDatabase_15[[#This Row],[SAPSA Number]],Table1[SAPSA number],Table1[Name])</f>
        <v xml:space="preserve">Leon </v>
      </c>
      <c r="E45" s="39" t="str">
        <f>_xlfn.XLOOKUP(__xlnm._FilterDatabase_15[[#This Row],[SAPSA Number]],Table1[SAPSA number],Table1[Surname])</f>
        <v>Myburgh</v>
      </c>
      <c r="F45" s="28" t="str">
        <f>_xlfn.XLOOKUP(__xlnm._FilterDatabase_15[[#This Row],[SAPSA Number]],Table1[SAPSA number],Table1[Initials])</f>
        <v>LC</v>
      </c>
      <c r="G45" s="17" t="str">
        <f ca="1">_xlfn.XLOOKUP(__xlnm._FilterDatabase_15[[#This Row],[SAPSA Number]],Table1[SAPSA number],Table1[Gender])</f>
        <v>S</v>
      </c>
      <c r="H45" s="19" t="e">
        <f>_xlfn.XLOOKUP(__xlnm._FilterDatabase_15[[#This Row],[SAPSA Number]],#REF!,#REF!)</f>
        <v>#REF!</v>
      </c>
      <c r="I45" s="19" t="s">
        <v>234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25" customHeight="1" x14ac:dyDescent="0.3">
      <c r="A46" s="17">
        <f t="shared" si="6"/>
        <v>9</v>
      </c>
      <c r="B46" s="40">
        <v>5804</v>
      </c>
      <c r="C46" s="25" t="str">
        <f>_xlfn.XLOOKUP(__xlnm._FilterDatabase_15[[#This Row],[SAPSA Number]],Table1[SAPSA number],Table1[Paid up])</f>
        <v>Y</v>
      </c>
      <c r="D46" s="19" t="str">
        <f>_xlfn.XLOOKUP(__xlnm._FilterDatabase_15[[#This Row],[SAPSA Number]],Table1[SAPSA number],Table1[Name])</f>
        <v>Louis Johannes</v>
      </c>
      <c r="E46" s="39" t="str">
        <f>_xlfn.XLOOKUP(__xlnm._FilterDatabase_15[[#This Row],[SAPSA Number]],Table1[SAPSA number],Table1[Surname])</f>
        <v>Nel</v>
      </c>
      <c r="F46" s="28" t="str">
        <f>_xlfn.XLOOKUP(__xlnm._FilterDatabase_15[[#This Row],[SAPSA Number]],Table1[SAPSA number],Table1[Initials])</f>
        <v>LJ</v>
      </c>
      <c r="G46" s="17" t="str">
        <f ca="1">_xlfn.XLOOKUP(__xlnm._FilterDatabase_15[[#This Row],[SAPSA Number]],Table1[SAPSA number],Table1[Gender])</f>
        <v xml:space="preserve"> </v>
      </c>
      <c r="H46" s="19" t="e">
        <f>_xlfn.XLOOKUP(__xlnm._FilterDatabase_15[[#This Row],[SAPSA Number]],#REF!,#REF!)</f>
        <v>#REF!</v>
      </c>
      <c r="I46" s="19" t="s">
        <v>234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6"/>
        <v>9</v>
      </c>
      <c r="B47" s="40">
        <v>6633</v>
      </c>
      <c r="C47" s="25">
        <f>_xlfn.XLOOKUP(__xlnm._FilterDatabase_15[[#This Row],[SAPSA Number]],Table1[SAPSA number],Table1[Paid up])</f>
        <v>0</v>
      </c>
      <c r="D47" s="19" t="str">
        <f>_xlfn.XLOOKUP(__xlnm._FilterDatabase_15[[#This Row],[SAPSA Number]],Table1[SAPSA number],Table1[Name])</f>
        <v>Allessandro Raffaele</v>
      </c>
      <c r="E47" s="39" t="str">
        <f>_xlfn.XLOOKUP(__xlnm._FilterDatabase_15[[#This Row],[SAPSA Number]],Table1[SAPSA number],Table1[Surname])</f>
        <v>Paschini</v>
      </c>
      <c r="F47" s="28" t="str">
        <f>_xlfn.XLOOKUP(__xlnm._FilterDatabase_15[[#This Row],[SAPSA Number]],Table1[SAPSA number],Table1[Initials])</f>
        <v>AR</v>
      </c>
      <c r="G47" s="17" t="str">
        <f ca="1">_xlfn.XLOOKUP(__xlnm._FilterDatabase_15[[#This Row],[SAPSA Number]],Table1[SAPSA number],Table1[Gender])</f>
        <v xml:space="preserve"> </v>
      </c>
      <c r="H47" s="19" t="e">
        <f>_xlfn.XLOOKUP(__xlnm._FilterDatabase_15[[#This Row],[SAPSA Number]],#REF!,#REF!)</f>
        <v>#REF!</v>
      </c>
      <c r="I47" s="19" t="s">
        <v>234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 t="shared" si="6"/>
        <v>9</v>
      </c>
      <c r="B48" s="25">
        <v>250</v>
      </c>
      <c r="C48" s="25">
        <f>_xlfn.XLOOKUP(__xlnm._FilterDatabase_15[[#This Row],[SAPSA Number]],Table1[SAPSA number],Table1[Paid up])</f>
        <v>0</v>
      </c>
      <c r="D48" s="19" t="str">
        <f>_xlfn.XLOOKUP(__xlnm._FilterDatabase_15[[#This Row],[SAPSA Number]],Table1[SAPSA number],Table1[Name])</f>
        <v>Adriano Walter</v>
      </c>
      <c r="E48" s="39" t="str">
        <f>_xlfn.XLOOKUP(__xlnm._FilterDatabase_15[[#This Row],[SAPSA Number]],Table1[SAPSA number],Table1[Surname])</f>
        <v>Paschini</v>
      </c>
      <c r="F48" s="28" t="str">
        <f>_xlfn.XLOOKUP(__xlnm._FilterDatabase_15[[#This Row],[SAPSA Number]],Table1[SAPSA number],Table1[Initials])</f>
        <v>AW</v>
      </c>
      <c r="G48" s="17" t="str">
        <f ca="1">_xlfn.XLOOKUP(__xlnm._FilterDatabase_15[[#This Row],[SAPSA Number]],Table1[SAPSA number],Table1[Gender])</f>
        <v>SS</v>
      </c>
      <c r="H48" s="19" t="e">
        <f>_xlfn.XLOOKUP(__xlnm._FilterDatabase_15[[#This Row],[SAPSA Number]],#REF!,#REF!)</f>
        <v>#REF!</v>
      </c>
      <c r="I48" s="19" t="s">
        <v>234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6"/>
        <v>9</v>
      </c>
      <c r="B49" s="18">
        <v>7478</v>
      </c>
      <c r="C49" s="25">
        <f>_xlfn.XLOOKUP(__xlnm._FilterDatabase_15[[#This Row],[SAPSA Number]],Table1[SAPSA number],Table1[Paid up])</f>
        <v>0</v>
      </c>
      <c r="D49" s="19" t="str">
        <f>_xlfn.XLOOKUP(__xlnm._FilterDatabase_15[[#This Row],[SAPSA Number]],Table1[SAPSA number],Table1[Name])</f>
        <v>Annemarie</v>
      </c>
      <c r="E49" s="39" t="str">
        <f>_xlfn.XLOOKUP(__xlnm._FilterDatabase_15[[#This Row],[SAPSA Number]],Table1[SAPSA number],Table1[Surname])</f>
        <v>Pienaar</v>
      </c>
      <c r="F49" s="28" t="str">
        <f>_xlfn.XLOOKUP(__xlnm._FilterDatabase_15[[#This Row],[SAPSA Number]],Table1[SAPSA number],Table1[Initials])</f>
        <v>A</v>
      </c>
      <c r="G49" s="17" t="str">
        <f>_xlfn.XLOOKUP(__xlnm._FilterDatabase_15[[#This Row],[SAPSA Number]],Table1[SAPSA number],Table1[Gender])</f>
        <v>Lady</v>
      </c>
      <c r="H49" s="19" t="e">
        <f>_xlfn.XLOOKUP(__xlnm._FilterDatabase_15[[#This Row],[SAPSA Number]],#REF!,#REF!)</f>
        <v>#REF!</v>
      </c>
      <c r="I49" s="19" t="s">
        <v>234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6"/>
        <v>9</v>
      </c>
      <c r="B50" s="25">
        <v>2950</v>
      </c>
      <c r="C50" s="25">
        <f>_xlfn.XLOOKUP(__xlnm._FilterDatabase_15[[#This Row],[SAPSA Number]],Table1[SAPSA number],Table1[Paid up])</f>
        <v>0</v>
      </c>
      <c r="D50" s="19" t="str">
        <f>_xlfn.XLOOKUP(__xlnm._FilterDatabase_15[[#This Row],[SAPSA Number]],Table1[SAPSA number],Table1[Name])</f>
        <v>Renier Jansen</v>
      </c>
      <c r="E50" s="39" t="str">
        <f>_xlfn.XLOOKUP(__xlnm._FilterDatabase_15[[#This Row],[SAPSA Number]],Table1[SAPSA number],Table1[Surname])</f>
        <v>Reynders</v>
      </c>
      <c r="F50" s="28" t="str">
        <f>_xlfn.XLOOKUP(__xlnm._FilterDatabase_15[[#This Row],[SAPSA Number]],Table1[SAPSA number],Table1[Initials])</f>
        <v>RJ</v>
      </c>
      <c r="G50" s="17" t="str">
        <f ca="1">_xlfn.XLOOKUP(__xlnm._FilterDatabase_15[[#This Row],[SAPSA Number]],Table1[SAPSA number],Table1[Gender])</f>
        <v xml:space="preserve"> </v>
      </c>
      <c r="H50" s="19" t="e">
        <f>_xlfn.XLOOKUP(__xlnm._FilterDatabase_15[[#This Row],[SAPSA Number]],#REF!,#REF!)</f>
        <v>#REF!</v>
      </c>
      <c r="I50" s="19" t="s">
        <v>234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6"/>
        <v>9</v>
      </c>
      <c r="B51" s="25">
        <v>1929</v>
      </c>
      <c r="C51" s="25">
        <f>_xlfn.XLOOKUP(__xlnm._FilterDatabase_15[[#This Row],[SAPSA Number]],Table1[SAPSA number],Table1[Paid up])</f>
        <v>0</v>
      </c>
      <c r="D51" s="19" t="str">
        <f>_xlfn.XLOOKUP(__xlnm._FilterDatabase_15[[#This Row],[SAPSA Number]],Table1[SAPSA number],Table1[Name])</f>
        <v>Chris</v>
      </c>
      <c r="E51" s="39" t="str">
        <f>_xlfn.XLOOKUP(__xlnm._FilterDatabase_15[[#This Row],[SAPSA Number]],Table1[SAPSA number],Table1[Surname])</f>
        <v>Ridout</v>
      </c>
      <c r="F51" s="28" t="str">
        <f>_xlfn.XLOOKUP(__xlnm._FilterDatabase_15[[#This Row],[SAPSA Number]],Table1[SAPSA number],Table1[Initials])</f>
        <v>CJ</v>
      </c>
      <c r="G51" s="17" t="str">
        <f ca="1">_xlfn.XLOOKUP(__xlnm._FilterDatabase_15[[#This Row],[SAPSA Number]],Table1[SAPSA number],Table1[Gender])</f>
        <v xml:space="preserve"> </v>
      </c>
      <c r="H51" s="19" t="e">
        <f>_xlfn.XLOOKUP(__xlnm._FilterDatabase_15[[#This Row],[SAPSA Number]],#REF!,#REF!)</f>
        <v>#REF!</v>
      </c>
      <c r="I51" s="19" t="s">
        <v>234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6"/>
        <v>9</v>
      </c>
      <c r="B52" s="25">
        <v>3822</v>
      </c>
      <c r="C52" s="25" t="str">
        <f>_xlfn.XLOOKUP(__xlnm._FilterDatabase_15[[#This Row],[SAPSA Number]],Table1[SAPSA number],Table1[Paid up])</f>
        <v>Y</v>
      </c>
      <c r="D52" s="19" t="str">
        <f>_xlfn.XLOOKUP(__xlnm._FilterDatabase_15[[#This Row],[SAPSA Number]],Table1[SAPSA number],Table1[Name])</f>
        <v>Wayne Erald</v>
      </c>
      <c r="E52" s="39" t="str">
        <f>_xlfn.XLOOKUP(__xlnm._FilterDatabase_15[[#This Row],[SAPSA Number]],Table1[SAPSA number],Table1[Surname])</f>
        <v>Schmidt</v>
      </c>
      <c r="F52" s="28" t="str">
        <f>_xlfn.XLOOKUP(__xlnm._FilterDatabase_15[[#This Row],[SAPSA Number]],Table1[SAPSA number],Table1[Initials])</f>
        <v>WE</v>
      </c>
      <c r="G52" s="17" t="str">
        <f ca="1">_xlfn.XLOOKUP(__xlnm._FilterDatabase_15[[#This Row],[SAPSA Number]],Table1[SAPSA number],Table1[Gender])</f>
        <v>S</v>
      </c>
      <c r="H52" s="19" t="e">
        <f>_xlfn.XLOOKUP(__xlnm._FilterDatabase_15[[#This Row],[SAPSA Number]],#REF!,#REF!)</f>
        <v>#REF!</v>
      </c>
      <c r="I52" s="19" t="s">
        <v>234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6"/>
        <v>9</v>
      </c>
      <c r="B53" s="25">
        <v>4966</v>
      </c>
      <c r="C53" s="25" t="str">
        <f>_xlfn.XLOOKUP(__xlnm._FilterDatabase_15[[#This Row],[SAPSA Number]],Table1[SAPSA number],Table1[Paid up])</f>
        <v>Y</v>
      </c>
      <c r="D53" s="19" t="str">
        <f>_xlfn.XLOOKUP(__xlnm._FilterDatabase_15[[#This Row],[SAPSA Number]],Table1[SAPSA number],Table1[Name])</f>
        <v>Costantinos</v>
      </c>
      <c r="E53" s="39" t="str">
        <f>_xlfn.XLOOKUP(__xlnm._FilterDatabase_15[[#This Row],[SAPSA Number]],Table1[SAPSA number],Table1[Surname])</f>
        <v>Seindis</v>
      </c>
      <c r="F53" s="28" t="str">
        <f>_xlfn.XLOOKUP(__xlnm._FilterDatabase_15[[#This Row],[SAPSA Number]],Table1[SAPSA number],Table1[Initials])</f>
        <v>C</v>
      </c>
      <c r="G53" s="17" t="str">
        <f ca="1">_xlfn.XLOOKUP(__xlnm._FilterDatabase_15[[#This Row],[SAPSA Number]],Table1[SAPSA number],Table1[Gender])</f>
        <v xml:space="preserve"> </v>
      </c>
      <c r="H53" s="19" t="e">
        <f>_xlfn.XLOOKUP(__xlnm._FilterDatabase_15[[#This Row],[SAPSA Number]],#REF!,#REF!)</f>
        <v>#REF!</v>
      </c>
      <c r="I53" s="19" t="s">
        <v>234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6"/>
        <v>9</v>
      </c>
      <c r="B54" s="25">
        <v>572</v>
      </c>
      <c r="C54" s="25" t="str">
        <f>_xlfn.XLOOKUP(__xlnm._FilterDatabase_15[[#This Row],[SAPSA Number]],Table1[SAPSA number],Table1[Paid up])</f>
        <v>Y</v>
      </c>
      <c r="D54" s="19" t="str">
        <f>_xlfn.XLOOKUP(__xlnm._FilterDatabase_15[[#This Row],[SAPSA Number]],Table1[SAPSA number],Table1[Name])</f>
        <v>DJ</v>
      </c>
      <c r="E54" s="39" t="str">
        <f>_xlfn.XLOOKUP(__xlnm._FilterDatabase_15[[#This Row],[SAPSA Number]],Table1[SAPSA number],Table1[Surname])</f>
        <v>Smith</v>
      </c>
      <c r="F54" s="28" t="str">
        <f>_xlfn.XLOOKUP(__xlnm._FilterDatabase_15[[#This Row],[SAPSA Number]],Table1[SAPSA number],Table1[Initials])</f>
        <v>DJ</v>
      </c>
      <c r="G54" s="17" t="str">
        <f ca="1">_xlfn.XLOOKUP(__xlnm._FilterDatabase_15[[#This Row],[SAPSA Number]],Table1[SAPSA number],Table1[Gender])</f>
        <v>SS</v>
      </c>
      <c r="H54" s="19" t="e">
        <f>_xlfn.XLOOKUP(__xlnm._FilterDatabase_15[[#This Row],[SAPSA Number]],#REF!,#REF!)</f>
        <v>#REF!</v>
      </c>
      <c r="I54" s="19" t="s">
        <v>234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6"/>
        <v>9</v>
      </c>
      <c r="B55" s="25">
        <v>1321</v>
      </c>
      <c r="C55" s="25">
        <f>_xlfn.XLOOKUP(__xlnm._FilterDatabase_15[[#This Row],[SAPSA Number]],Table1[SAPSA number],Table1[Paid up])</f>
        <v>0</v>
      </c>
      <c r="D55" s="19" t="str">
        <f>_xlfn.XLOOKUP(__xlnm._FilterDatabase_15[[#This Row],[SAPSA Number]],Table1[SAPSA number],Table1[Name])</f>
        <v>Neal Monisen</v>
      </c>
      <c r="E55" s="39" t="str">
        <f>_xlfn.XLOOKUP(__xlnm._FilterDatabase_15[[#This Row],[SAPSA Number]],Table1[SAPSA number],Table1[Surname])</f>
        <v>Sokay</v>
      </c>
      <c r="F55" s="28" t="str">
        <f>_xlfn.XLOOKUP(__xlnm._FilterDatabase_15[[#This Row],[SAPSA Number]],Table1[SAPSA number],Table1[Initials])</f>
        <v>NM</v>
      </c>
      <c r="G55" s="17" t="str">
        <f ca="1">_xlfn.XLOOKUP(__xlnm._FilterDatabase_15[[#This Row],[SAPSA Number]],Table1[SAPSA number],Table1[Gender])</f>
        <v>S</v>
      </c>
      <c r="H55" s="19" t="e">
        <f>_xlfn.XLOOKUP(__xlnm._FilterDatabase_15[[#This Row],[SAPSA Number]],#REF!,#REF!)</f>
        <v>#REF!</v>
      </c>
      <c r="I55" s="19" t="s">
        <v>234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6"/>
        <v>9</v>
      </c>
      <c r="B56" s="25">
        <v>4858</v>
      </c>
      <c r="C56" s="25" t="str">
        <f>_xlfn.XLOOKUP(__xlnm._FilterDatabase_15[[#This Row],[SAPSA Number]],Table1[SAPSA number],Table1[Paid up])</f>
        <v>Y</v>
      </c>
      <c r="D56" s="19" t="str">
        <f>_xlfn.XLOOKUP(__xlnm._FilterDatabase_15[[#This Row],[SAPSA Number]],Table1[SAPSA number],Table1[Name])</f>
        <v>Jacques</v>
      </c>
      <c r="E56" s="39" t="str">
        <f>_xlfn.XLOOKUP(__xlnm._FilterDatabase_15[[#This Row],[SAPSA Number]],Table1[SAPSA number],Table1[Surname])</f>
        <v>Swanepoel</v>
      </c>
      <c r="F56" s="28" t="str">
        <f>_xlfn.XLOOKUP(__xlnm._FilterDatabase_15[[#This Row],[SAPSA Number]],Table1[SAPSA number],Table1[Initials])</f>
        <v>J</v>
      </c>
      <c r="G56" s="17" t="str">
        <f ca="1">_xlfn.XLOOKUP(__xlnm._FilterDatabase_15[[#This Row],[SAPSA Number]],Table1[SAPSA number],Table1[Gender])</f>
        <v xml:space="preserve"> </v>
      </c>
      <c r="H56" s="19" t="e">
        <f>_xlfn.XLOOKUP(__xlnm._FilterDatabase_15[[#This Row],[SAPSA Number]],#REF!,#REF!)</f>
        <v>#REF!</v>
      </c>
      <c r="I56" s="19" t="s">
        <v>234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6"/>
        <v>9</v>
      </c>
      <c r="B57" s="25">
        <v>1113</v>
      </c>
      <c r="C57" s="25" t="str">
        <f>_xlfn.XLOOKUP(__xlnm._FilterDatabase_15[[#This Row],[SAPSA Number]],Table1[SAPSA number],Table1[Paid up])</f>
        <v>Y</v>
      </c>
      <c r="D57" s="19" t="str">
        <f>_xlfn.XLOOKUP(__xlnm._FilterDatabase_15[[#This Row],[SAPSA Number]],Table1[SAPSA number],Table1[Name])</f>
        <v>Frik</v>
      </c>
      <c r="E57" s="39" t="str">
        <f>_xlfn.XLOOKUP(__xlnm._FilterDatabase_15[[#This Row],[SAPSA Number]],Table1[SAPSA number],Table1[Surname])</f>
        <v>Truter</v>
      </c>
      <c r="F57" s="28" t="str">
        <f>_xlfn.XLOOKUP(__xlnm._FilterDatabase_15[[#This Row],[SAPSA Number]],Table1[SAPSA number],Table1[Initials])</f>
        <v>FC</v>
      </c>
      <c r="G57" s="17" t="str">
        <f ca="1">_xlfn.XLOOKUP(__xlnm._FilterDatabase_15[[#This Row],[SAPSA Number]],Table1[SAPSA number],Table1[Gender])</f>
        <v>SS</v>
      </c>
      <c r="H57" s="19" t="e">
        <f>_xlfn.XLOOKUP(__xlnm._FilterDatabase_15[[#This Row],[SAPSA Number]],#REF!,#REF!)</f>
        <v>#REF!</v>
      </c>
      <c r="I57" s="19" t="s">
        <v>234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6"/>
        <v>9</v>
      </c>
      <c r="B58" s="25">
        <v>4672</v>
      </c>
      <c r="C58" s="25" t="str">
        <f>_xlfn.XLOOKUP(__xlnm._FilterDatabase_15[[#This Row],[SAPSA Number]],Table1[SAPSA number],Table1[Paid up])</f>
        <v>Y</v>
      </c>
      <c r="D58" s="19" t="str">
        <f>_xlfn.XLOOKUP(__xlnm._FilterDatabase_15[[#This Row],[SAPSA Number]],Table1[SAPSA number],Table1[Name])</f>
        <v>Frederick John</v>
      </c>
      <c r="E58" s="39" t="str">
        <f>_xlfn.XLOOKUP(__xlnm._FilterDatabase_15[[#This Row],[SAPSA Number]],Table1[SAPSA number],Table1[Surname])</f>
        <v>Turnbull</v>
      </c>
      <c r="F58" s="28" t="str">
        <f>_xlfn.XLOOKUP(__xlnm._FilterDatabase_15[[#This Row],[SAPSA Number]],Table1[SAPSA number],Table1[Initials])</f>
        <v>FJ</v>
      </c>
      <c r="G58" s="17" t="str">
        <f ca="1">_xlfn.XLOOKUP(__xlnm._FilterDatabase_15[[#This Row],[SAPSA Number]],Table1[SAPSA number],Table1[Gender])</f>
        <v>SS</v>
      </c>
      <c r="H58" s="19" t="e">
        <f>_xlfn.XLOOKUP(__xlnm._FilterDatabase_15[[#This Row],[SAPSA Number]],#REF!,#REF!)</f>
        <v>#REF!</v>
      </c>
      <c r="I58" s="19" t="s">
        <v>234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6"/>
        <v>9</v>
      </c>
      <c r="B59" s="25">
        <v>1931</v>
      </c>
      <c r="C59" s="25">
        <f>_xlfn.XLOOKUP(__xlnm._FilterDatabase_15[[#This Row],[SAPSA Number]],Table1[SAPSA number],Table1[Paid up])</f>
        <v>0</v>
      </c>
      <c r="D59" s="19" t="str">
        <f>_xlfn.XLOOKUP(__xlnm._FilterDatabase_15[[#This Row],[SAPSA Number]],Table1[SAPSA number],Table1[Name])</f>
        <v>Sylvia</v>
      </c>
      <c r="E59" s="39" t="str">
        <f>_xlfn.XLOOKUP(__xlnm._FilterDatabase_15[[#This Row],[SAPSA Number]],Table1[SAPSA number],Table1[Surname])</f>
        <v>Van der Neut</v>
      </c>
      <c r="F59" s="28" t="str">
        <f>_xlfn.XLOOKUP(__xlnm._FilterDatabase_15[[#This Row],[SAPSA Number]],Table1[SAPSA number],Table1[Initials])</f>
        <v>S</v>
      </c>
      <c r="G59" s="17" t="str">
        <f>_xlfn.XLOOKUP(__xlnm._FilterDatabase_15[[#This Row],[SAPSA Number]],Table1[SAPSA number],Table1[Gender])</f>
        <v>Lady</v>
      </c>
      <c r="H59" s="19" t="e">
        <f>_xlfn.XLOOKUP(__xlnm._FilterDatabase_15[[#This Row],[SAPSA Number]],#REF!,#REF!)</f>
        <v>#REF!</v>
      </c>
      <c r="I59" s="19" t="s">
        <v>234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6"/>
        <v>9</v>
      </c>
      <c r="B60" s="25">
        <v>5616</v>
      </c>
      <c r="C60" s="25">
        <f>_xlfn.XLOOKUP(__xlnm._FilterDatabase_15[[#This Row],[SAPSA Number]],Table1[SAPSA number],Table1[Paid up])</f>
        <v>0</v>
      </c>
      <c r="D60" s="19" t="str">
        <f>_xlfn.XLOOKUP(__xlnm._FilterDatabase_15[[#This Row],[SAPSA Number]],Table1[SAPSA number],Table1[Name])</f>
        <v>Cornelis Herman</v>
      </c>
      <c r="E60" s="39" t="str">
        <f>_xlfn.XLOOKUP(__xlnm._FilterDatabase_15[[#This Row],[SAPSA Number]],Table1[SAPSA number],Table1[Surname])</f>
        <v>van Driel</v>
      </c>
      <c r="F60" s="28" t="str">
        <f>_xlfn.XLOOKUP(__xlnm._FilterDatabase_15[[#This Row],[SAPSA Number]],Table1[SAPSA number],Table1[Initials])</f>
        <v>CH</v>
      </c>
      <c r="G60" s="17" t="str">
        <f ca="1">_xlfn.XLOOKUP(__xlnm._FilterDatabase_15[[#This Row],[SAPSA Number]],Table1[SAPSA number],Table1[Gender])</f>
        <v xml:space="preserve"> </v>
      </c>
      <c r="H60" s="19" t="e">
        <f>_xlfn.XLOOKUP(__xlnm._FilterDatabase_15[[#This Row],[SAPSA Number]],#REF!,#REF!)</f>
        <v>#REF!</v>
      </c>
      <c r="I60" s="19" t="s">
        <v>234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6"/>
        <v>9</v>
      </c>
      <c r="B61" s="18">
        <v>6564</v>
      </c>
      <c r="C61" s="25" t="str">
        <f>_xlfn.XLOOKUP(__xlnm._FilterDatabase_15[[#This Row],[SAPSA Number]],Table1[SAPSA number],Table1[Paid up])</f>
        <v>Y</v>
      </c>
      <c r="D61" s="19" t="str">
        <f>_xlfn.XLOOKUP(__xlnm._FilterDatabase_15[[#This Row],[SAPSA Number]],Table1[SAPSA number],Table1[Name])</f>
        <v>Kwimton Schalk</v>
      </c>
      <c r="E61" s="39" t="str">
        <f>_xlfn.XLOOKUP(__xlnm._FilterDatabase_15[[#This Row],[SAPSA Number]],Table1[SAPSA number],Table1[Surname])</f>
        <v>van Jaarsveld</v>
      </c>
      <c r="F61" s="28" t="str">
        <f>_xlfn.XLOOKUP(__xlnm._FilterDatabase_15[[#This Row],[SAPSA Number]],Table1[SAPSA number],Table1[Initials])</f>
        <v>KS</v>
      </c>
      <c r="G61" s="17" t="str">
        <f ca="1">_xlfn.XLOOKUP(__xlnm._FilterDatabase_15[[#This Row],[SAPSA Number]],Table1[SAPSA number],Table1[Gender])</f>
        <v xml:space="preserve"> </v>
      </c>
      <c r="H61" s="19" t="e">
        <f>_xlfn.XLOOKUP(__xlnm._FilterDatabase_15[[#This Row],[SAPSA Number]],#REF!,#REF!)</f>
        <v>#REF!</v>
      </c>
      <c r="I61" s="19" t="s">
        <v>234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6"/>
        <v>9</v>
      </c>
      <c r="B62" s="26">
        <v>5262</v>
      </c>
      <c r="C62" s="25" t="str">
        <f>_xlfn.XLOOKUP(__xlnm._FilterDatabase_15[[#This Row],[SAPSA Number]],Table1[SAPSA number],Table1[Paid up])</f>
        <v>Y</v>
      </c>
      <c r="D62" s="19" t="str">
        <f>_xlfn.XLOOKUP(__xlnm._FilterDatabase_15[[#This Row],[SAPSA Number]],Table1[SAPSA number],Table1[Name])</f>
        <v>Andre</v>
      </c>
      <c r="E62" s="39" t="str">
        <f>_xlfn.XLOOKUP(__xlnm._FilterDatabase_15[[#This Row],[SAPSA Number]],Table1[SAPSA number],Table1[Surname])</f>
        <v>van Rooyen</v>
      </c>
      <c r="F62" s="28" t="str">
        <f>_xlfn.XLOOKUP(__xlnm._FilterDatabase_15[[#This Row],[SAPSA Number]],Table1[SAPSA number],Table1[Initials])</f>
        <v>A</v>
      </c>
      <c r="G62" s="17" t="str">
        <f ca="1">_xlfn.XLOOKUP(__xlnm._FilterDatabase_15[[#This Row],[SAPSA Number]],Table1[SAPSA number],Table1[Gender])</f>
        <v xml:space="preserve"> </v>
      </c>
      <c r="H62" s="19" t="e">
        <f>_xlfn.XLOOKUP(__xlnm._FilterDatabase_15[[#This Row],[SAPSA Number]],#REF!,#REF!)</f>
        <v>#REF!</v>
      </c>
      <c r="I62" s="19" t="s">
        <v>234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6"/>
        <v>9</v>
      </c>
      <c r="B63" s="26">
        <v>5971</v>
      </c>
      <c r="C63" s="25">
        <f>_xlfn.XLOOKUP(__xlnm._FilterDatabase_15[[#This Row],[SAPSA Number]],Table1[SAPSA number],Table1[Paid up])</f>
        <v>0</v>
      </c>
      <c r="D63" s="19" t="str">
        <f>_xlfn.XLOOKUP(__xlnm._FilterDatabase_15[[#This Row],[SAPSA Number]],Table1[SAPSA number],Table1[Name])</f>
        <v>Hendrik</v>
      </c>
      <c r="E63" s="39" t="str">
        <f>_xlfn.XLOOKUP(__xlnm._FilterDatabase_15[[#This Row],[SAPSA Number]],Table1[SAPSA number],Table1[Surname])</f>
        <v>van Rooyen</v>
      </c>
      <c r="F63" s="28" t="str">
        <f>_xlfn.XLOOKUP(__xlnm._FilterDatabase_15[[#This Row],[SAPSA Number]],Table1[SAPSA number],Table1[Initials])</f>
        <v>H</v>
      </c>
      <c r="G63" s="17" t="str">
        <f ca="1">_xlfn.XLOOKUP(__xlnm._FilterDatabase_15[[#This Row],[SAPSA Number]],Table1[SAPSA number],Table1[Gender])</f>
        <v>S</v>
      </c>
      <c r="H63" s="19" t="e">
        <f>_xlfn.XLOOKUP(__xlnm._FilterDatabase_15[[#This Row],[SAPSA Number]],#REF!,#REF!)</f>
        <v>#REF!</v>
      </c>
      <c r="I63" s="19" t="s">
        <v>234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ht="14.4" customHeight="1" x14ac:dyDescent="0.3">
      <c r="A64" s="17">
        <f t="shared" si="6"/>
        <v>9</v>
      </c>
      <c r="B64" s="26">
        <v>2089</v>
      </c>
      <c r="C64" s="25" t="str">
        <f>_xlfn.XLOOKUP(__xlnm._FilterDatabase_15[[#This Row],[SAPSA Number]],Table1[SAPSA number],Table1[Paid up])</f>
        <v>Y</v>
      </c>
      <c r="D64" s="19" t="str">
        <f>_xlfn.XLOOKUP(__xlnm._FilterDatabase_15[[#This Row],[SAPSA Number]],Table1[SAPSA number],Table1[Name])</f>
        <v>Doané</v>
      </c>
      <c r="E64" s="39" t="str">
        <f>_xlfn.XLOOKUP(__xlnm._FilterDatabase_15[[#This Row],[SAPSA Number]],Table1[SAPSA number],Table1[Surname])</f>
        <v>Vermooten</v>
      </c>
      <c r="F64" s="28" t="str">
        <f>_xlfn.XLOOKUP(__xlnm._FilterDatabase_15[[#This Row],[SAPSA Number]],Table1[SAPSA number],Table1[Initials])</f>
        <v>D</v>
      </c>
      <c r="G64" s="17" t="str">
        <f ca="1">_xlfn.XLOOKUP(__xlnm._FilterDatabase_15[[#This Row],[SAPSA Number]],Table1[SAPSA number],Table1[Gender])</f>
        <v xml:space="preserve"> </v>
      </c>
      <c r="H64" s="19" t="e">
        <f>_xlfn.XLOOKUP(__xlnm._FilterDatabase_15[[#This Row],[SAPSA Number]],#REF!,#REF!)</f>
        <v>#REF!</v>
      </c>
      <c r="I64" s="19" t="s">
        <v>234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ht="14.4" customHeight="1" x14ac:dyDescent="0.3">
      <c r="A65" s="17">
        <f t="shared" si="6"/>
        <v>9</v>
      </c>
      <c r="B65" s="26">
        <v>2051</v>
      </c>
      <c r="C65" s="25" t="str">
        <f>_xlfn.XLOOKUP(__xlnm._FilterDatabase_15[[#This Row],[SAPSA Number]],Table1[SAPSA number],Table1[Paid up])</f>
        <v>Y</v>
      </c>
      <c r="D65" s="19" t="str">
        <f>_xlfn.XLOOKUP(__xlnm._FilterDatabase_15[[#This Row],[SAPSA Number]],Table1[SAPSA number],Table1[Name])</f>
        <v>Simon Adriaan</v>
      </c>
      <c r="E65" s="39" t="str">
        <f>_xlfn.XLOOKUP(__xlnm._FilterDatabase_15[[#This Row],[SAPSA Number]],Table1[SAPSA number],Table1[Surname])</f>
        <v>Vermooten</v>
      </c>
      <c r="F65" s="28" t="str">
        <f>_xlfn.XLOOKUP(__xlnm._FilterDatabase_15[[#This Row],[SAPSA Number]],Table1[SAPSA number],Table1[Initials])</f>
        <v>SA</v>
      </c>
      <c r="G65" s="17" t="str">
        <f ca="1">_xlfn.XLOOKUP(__xlnm._FilterDatabase_15[[#This Row],[SAPSA Number]],Table1[SAPSA number],Table1[Gender])</f>
        <v>GS</v>
      </c>
      <c r="H65" s="19" t="e">
        <f>_xlfn.XLOOKUP(__xlnm._FilterDatabase_15[[#This Row],[SAPSA Number]],#REF!,#REF!)</f>
        <v>#REF!</v>
      </c>
      <c r="I65" s="19" t="s">
        <v>234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ht="14.4" customHeight="1" x14ac:dyDescent="0.3">
      <c r="A66" s="17">
        <f t="shared" si="6"/>
        <v>9</v>
      </c>
      <c r="B66" s="26">
        <v>896</v>
      </c>
      <c r="C66" s="25" t="str">
        <f>_xlfn.XLOOKUP(__xlnm._FilterDatabase_15[[#This Row],[SAPSA Number]],Table1[SAPSA number],Table1[Paid up])</f>
        <v>Y</v>
      </c>
      <c r="D66" s="19" t="str">
        <f>_xlfn.XLOOKUP(__xlnm._FilterDatabase_15[[#This Row],[SAPSA Number]],Table1[SAPSA number],Table1[Name])</f>
        <v>Johannes Francois</v>
      </c>
      <c r="E66" s="39" t="str">
        <f>_xlfn.XLOOKUP(__xlnm._FilterDatabase_15[[#This Row],[SAPSA Number]],Table1[SAPSA number],Table1[Surname])</f>
        <v>Wheeler</v>
      </c>
      <c r="F66" s="28" t="str">
        <f>_xlfn.XLOOKUP(__xlnm._FilterDatabase_15[[#This Row],[SAPSA Number]],Table1[SAPSA number],Table1[Initials])</f>
        <v>JF</v>
      </c>
      <c r="G66" s="17" t="str">
        <f ca="1">_xlfn.XLOOKUP(__xlnm._FilterDatabase_15[[#This Row],[SAPSA Number]],Table1[SAPSA number],Table1[Gender])</f>
        <v xml:space="preserve"> </v>
      </c>
      <c r="H66" s="19" t="e">
        <f>_xlfn.XLOOKUP(__xlnm._FilterDatabase_15[[#This Row],[SAPSA Number]],#REF!,#REF!)</f>
        <v>#REF!</v>
      </c>
      <c r="I66" s="19" t="s">
        <v>234</v>
      </c>
      <c r="J66" s="21">
        <f t="shared" si="4"/>
        <v>0</v>
      </c>
      <c r="K66" s="22">
        <f t="shared" ref="K66:K70" si="7"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ht="14.4" customHeight="1" x14ac:dyDescent="0.3">
      <c r="A67" s="17">
        <f t="shared" si="6"/>
        <v>9</v>
      </c>
      <c r="B67" s="26">
        <v>206</v>
      </c>
      <c r="C67" s="25">
        <f>_xlfn.XLOOKUP(__xlnm._FilterDatabase_15[[#This Row],[SAPSA Number]],Table1[SAPSA number],Table1[Paid up])</f>
        <v>0</v>
      </c>
      <c r="D67" s="19" t="str">
        <f>_xlfn.XLOOKUP(__xlnm._FilterDatabase_15[[#This Row],[SAPSA Number]],Table1[SAPSA number],Table1[Name])</f>
        <v>Pierre Dewald</v>
      </c>
      <c r="E67" s="39" t="str">
        <f>_xlfn.XLOOKUP(__xlnm._FilterDatabase_15[[#This Row],[SAPSA Number]],Table1[SAPSA number],Table1[Surname])</f>
        <v>Wrogemann</v>
      </c>
      <c r="F67" s="28" t="str">
        <f>_xlfn.XLOOKUP(__xlnm._FilterDatabase_15[[#This Row],[SAPSA Number]],Table1[SAPSA number],Table1[Initials])</f>
        <v>PD</v>
      </c>
      <c r="G67" s="17" t="str">
        <f ca="1">_xlfn.XLOOKUP(__xlnm._FilterDatabase_15[[#This Row],[SAPSA Number]],Table1[SAPSA number],Table1[Gender])</f>
        <v>S</v>
      </c>
      <c r="H67" s="19" t="e">
        <f>_xlfn.XLOOKUP(__xlnm._FilterDatabase_15[[#This Row],[SAPSA Number]],#REF!,#REF!)</f>
        <v>#REF!</v>
      </c>
      <c r="I67" s="19" t="s">
        <v>234</v>
      </c>
      <c r="J67" s="21">
        <f t="shared" si="4"/>
        <v>0</v>
      </c>
      <c r="K67" s="22">
        <f t="shared" si="7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ht="14.4" customHeight="1" x14ac:dyDescent="0.3">
      <c r="A68" s="17">
        <f t="shared" si="6"/>
        <v>9</v>
      </c>
      <c r="B68" s="26">
        <v>3810</v>
      </c>
      <c r="C68" s="25"/>
      <c r="D68" s="19" t="str">
        <f>_xlfn.XLOOKUP(__xlnm._FilterDatabase_15[[#This Row],[SAPSA Number]],Table1[SAPSA number],Table1[Name])</f>
        <v>Roelof</v>
      </c>
      <c r="E68" s="39" t="str">
        <f>_xlfn.XLOOKUP(__xlnm._FilterDatabase_15[[#This Row],[SAPSA Number]],Table1[SAPSA number],Table1[Surname])</f>
        <v>Liebenberg</v>
      </c>
      <c r="F68" s="28" t="str">
        <f>_xlfn.XLOOKUP(__xlnm._FilterDatabase_15[[#This Row],[SAPSA Number]],Table1[SAPSA number],Table1[Initials])</f>
        <v>R</v>
      </c>
      <c r="G68" s="17" t="str">
        <f ca="1">_xlfn.XLOOKUP(__xlnm._FilterDatabase_15[[#This Row],[SAPSA Number]],Table1[SAPSA number],Table1[Gender])</f>
        <v>S</v>
      </c>
      <c r="H68" s="19" t="e">
        <f>_xlfn.XLOOKUP(__xlnm._FilterDatabase_15[[#This Row],[SAPSA Number]],#REF!,#REF!)</f>
        <v>#REF!</v>
      </c>
      <c r="I68" s="19" t="s">
        <v>234</v>
      </c>
      <c r="J68" s="21">
        <f t="shared" si="4"/>
        <v>0</v>
      </c>
      <c r="K68" s="22">
        <f t="shared" si="7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ht="14.4" customHeight="1" x14ac:dyDescent="0.3">
      <c r="A69" s="17">
        <f t="shared" si="6"/>
        <v>9</v>
      </c>
      <c r="B69" s="26">
        <v>401</v>
      </c>
      <c r="C69" s="25"/>
      <c r="D69" s="19" t="str">
        <f>_xlfn.XLOOKUP(__xlnm._FilterDatabase_15[[#This Row],[SAPSA Number]],Table1[SAPSA number],Table1[Name])</f>
        <v>Sebella</v>
      </c>
      <c r="E69" s="39" t="str">
        <f>_xlfn.XLOOKUP(__xlnm._FilterDatabase_15[[#This Row],[SAPSA Number]],Table1[SAPSA number],Table1[Surname])</f>
        <v>O'Donovan</v>
      </c>
      <c r="F69" s="28" t="str">
        <f>_xlfn.XLOOKUP(__xlnm._FilterDatabase_15[[#This Row],[SAPSA Number]],Table1[SAPSA number],Table1[Initials])</f>
        <v>S</v>
      </c>
      <c r="G69" s="17" t="str">
        <f>_xlfn.XLOOKUP(__xlnm._FilterDatabase_15[[#This Row],[SAPSA Number]],Table1[SAPSA number],Table1[Gender])</f>
        <v>Lady</v>
      </c>
      <c r="H69" s="19" t="e">
        <f>_xlfn.XLOOKUP(__xlnm._FilterDatabase_15[[#This Row],[SAPSA Number]],#REF!,#REF!)</f>
        <v>#REF!</v>
      </c>
      <c r="I69" s="19" t="s">
        <v>234</v>
      </c>
      <c r="J69" s="21">
        <f t="shared" si="4"/>
        <v>0</v>
      </c>
      <c r="K69" s="22">
        <f t="shared" si="7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si="6"/>
        <v>9</v>
      </c>
      <c r="B70" s="26">
        <v>1547</v>
      </c>
      <c r="C70" s="25"/>
      <c r="D70" s="19" t="str">
        <f>_xlfn.XLOOKUP(__xlnm._FilterDatabase_15[[#This Row],[SAPSA Number]],Table1[SAPSA number],Table1[Name])</f>
        <v>Marius Frans</v>
      </c>
      <c r="E70" s="39" t="str">
        <f>_xlfn.XLOOKUP(__xlnm._FilterDatabase_15[[#This Row],[SAPSA Number]],Table1[SAPSA number],Table1[Surname])</f>
        <v>van Biljon</v>
      </c>
      <c r="F70" s="28" t="str">
        <f>_xlfn.XLOOKUP(__xlnm._FilterDatabase_15[[#This Row],[SAPSA Number]],Table1[SAPSA number],Table1[Initials])</f>
        <v>MF</v>
      </c>
      <c r="G70" s="17" t="str">
        <f ca="1">_xlfn.XLOOKUP(__xlnm._FilterDatabase_15[[#This Row],[SAPSA Number]],Table1[SAPSA number],Table1[Gender])</f>
        <v>S</v>
      </c>
      <c r="H70" s="19" t="e">
        <f>_xlfn.XLOOKUP(__xlnm._FilterDatabase_15[[#This Row],[SAPSA Number]],#REF!,#REF!)</f>
        <v>#REF!</v>
      </c>
      <c r="I70" s="19" t="s">
        <v>234</v>
      </c>
      <c r="J70" s="21">
        <f t="shared" si="4"/>
        <v>0</v>
      </c>
      <c r="K70" s="22">
        <f t="shared" si="7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26"/>
      <c r="C71" s="25"/>
      <c r="D71" s="19"/>
      <c r="E71" s="39"/>
      <c r="F71" s="28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x14ac:dyDescent="0.3">
      <c r="A72" s="17"/>
      <c r="B72" s="26"/>
      <c r="C72" s="25"/>
      <c r="D72" s="19"/>
      <c r="E72" s="39"/>
      <c r="F72" s="28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17"/>
      <c r="B73" s="27"/>
      <c r="C73" s="25"/>
      <c r="D73" s="19"/>
      <c r="E73" s="39"/>
      <c r="F73" s="28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17"/>
      <c r="B74" s="18"/>
      <c r="C74" s="25"/>
      <c r="D74" s="19"/>
      <c r="E74" s="39"/>
      <c r="F74" s="28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17"/>
      <c r="B75" s="25"/>
      <c r="C75" s="25"/>
      <c r="D75" s="19"/>
      <c r="E75" s="39"/>
      <c r="F75" s="28"/>
      <c r="G75" s="17"/>
      <c r="H75" s="19"/>
      <c r="I75" s="19"/>
      <c r="J75" s="21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17"/>
      <c r="B76" s="30"/>
      <c r="C76" s="25"/>
      <c r="D76" s="19"/>
      <c r="E76" s="39"/>
      <c r="F76" s="28"/>
      <c r="G76" s="17"/>
      <c r="H76" s="19"/>
      <c r="I76" s="19"/>
      <c r="J76" s="21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x14ac:dyDescent="0.3">
      <c r="A77" s="17"/>
      <c r="B77" s="26"/>
      <c r="C77" s="25"/>
      <c r="D77" s="19"/>
      <c r="E77" s="39"/>
      <c r="F77" s="28"/>
      <c r="G77" s="17"/>
      <c r="H77" s="19"/>
      <c r="I77" s="19"/>
      <c r="J77" s="21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x14ac:dyDescent="0.3">
      <c r="A78" s="31"/>
      <c r="B78" s="32"/>
      <c r="C78" s="25"/>
      <c r="D78" s="19"/>
      <c r="E78" s="39"/>
      <c r="F78" s="28"/>
      <c r="G78" s="17"/>
      <c r="H78" s="19"/>
      <c r="I78" s="19"/>
      <c r="J78" s="34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x14ac:dyDescent="0.3">
      <c r="A79" s="31"/>
      <c r="B79" s="32"/>
      <c r="C79" s="25"/>
      <c r="D79" s="19"/>
      <c r="E79" s="39"/>
      <c r="F79" s="28"/>
      <c r="G79" s="17"/>
      <c r="H79" s="19"/>
      <c r="I79" s="19"/>
      <c r="J79" s="34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31"/>
      <c r="B80" s="32"/>
      <c r="C80" s="25"/>
      <c r="D80" s="19"/>
      <c r="E80" s="39"/>
      <c r="F80" s="28"/>
      <c r="G80" s="17"/>
      <c r="H80" s="19"/>
      <c r="I80" s="19"/>
      <c r="J80" s="34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x14ac:dyDescent="0.3">
      <c r="A81" s="31"/>
      <c r="B81" s="32"/>
      <c r="C81" s="25"/>
      <c r="D81" s="19"/>
      <c r="E81" s="39"/>
      <c r="F81" s="28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31"/>
      <c r="B82" s="32"/>
      <c r="C82" s="25"/>
      <c r="D82" s="19"/>
      <c r="E82" s="39"/>
      <c r="F82" s="28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31"/>
      <c r="B83" s="32"/>
      <c r="C83" s="25"/>
      <c r="D83" s="19"/>
      <c r="E83" s="39"/>
      <c r="F83" s="28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31"/>
      <c r="B84" s="32"/>
      <c r="C84" s="25"/>
      <c r="D84" s="19"/>
      <c r="E84" s="39"/>
      <c r="F84" s="28"/>
      <c r="G84" s="17"/>
      <c r="H84" s="19"/>
      <c r="I84" s="19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35"/>
      <c r="B85" s="36"/>
      <c r="C85" s="25"/>
      <c r="D85" s="19"/>
      <c r="E85" s="39"/>
      <c r="F85" s="28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35"/>
      <c r="B86" s="32"/>
      <c r="C86" s="25"/>
      <c r="D86" s="19"/>
      <c r="E86" s="39"/>
      <c r="F86" s="28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35"/>
      <c r="B87" s="32"/>
      <c r="C87" s="25"/>
      <c r="D87" s="19"/>
      <c r="E87" s="39"/>
      <c r="F87" s="28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35"/>
      <c r="B88" s="41"/>
      <c r="C88" s="25"/>
      <c r="D88" s="19"/>
      <c r="E88" s="39"/>
      <c r="F88" s="28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5"/>
      <c r="B89" s="32"/>
      <c r="C89" s="25"/>
      <c r="D89" s="19"/>
      <c r="E89" s="39"/>
      <c r="F89" s="28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5"/>
      <c r="B90" s="32"/>
      <c r="C90" s="25"/>
      <c r="D90" s="19"/>
      <c r="E90" s="39"/>
      <c r="F90" s="28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5"/>
      <c r="B91" s="32"/>
      <c r="C91" s="25"/>
      <c r="D91" s="19"/>
      <c r="E91" s="39"/>
      <c r="F91" s="28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5"/>
      <c r="B92" s="32"/>
      <c r="C92" s="25"/>
      <c r="D92" s="19"/>
      <c r="E92" s="39"/>
      <c r="F92" s="28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31"/>
      <c r="B93" s="32"/>
      <c r="C93" s="25"/>
      <c r="D93" s="19"/>
      <c r="E93" s="39"/>
      <c r="F93" s="28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1"/>
      <c r="B94" s="32"/>
      <c r="C94" s="25"/>
      <c r="D94" s="19"/>
      <c r="E94" s="39"/>
      <c r="F94" s="28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1"/>
      <c r="B95" s="43"/>
      <c r="C95" s="25"/>
      <c r="D95" s="19"/>
      <c r="E95" s="39"/>
      <c r="F95" s="28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5"/>
      <c r="B96" s="44"/>
      <c r="C96" s="25"/>
      <c r="D96" s="19"/>
      <c r="E96" s="39"/>
      <c r="F96" s="28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5"/>
      <c r="B97" s="36"/>
      <c r="C97" s="25"/>
      <c r="D97" s="19"/>
      <c r="E97" s="39"/>
      <c r="F97" s="28"/>
      <c r="G97" s="17"/>
      <c r="H97" s="29"/>
      <c r="I97" s="29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1"/>
      <c r="B98" s="32"/>
      <c r="C98" s="25"/>
      <c r="D98" s="19"/>
      <c r="E98" s="39"/>
      <c r="F98" s="28"/>
      <c r="G98" s="17"/>
      <c r="H98" s="33"/>
      <c r="I98" s="33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1"/>
      <c r="B99" s="32"/>
      <c r="C99" s="25"/>
      <c r="D99" s="19"/>
      <c r="E99" s="39"/>
      <c r="F99" s="28"/>
      <c r="G99" s="17"/>
      <c r="H99" s="33"/>
      <c r="I99" s="33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31"/>
      <c r="B100" s="32"/>
      <c r="C100" s="25"/>
      <c r="D100" s="19"/>
      <c r="E100" s="39"/>
      <c r="F100" s="28"/>
      <c r="G100" s="17"/>
      <c r="H100" s="33"/>
      <c r="I100" s="33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31"/>
      <c r="B101" s="32"/>
      <c r="C101" s="25"/>
      <c r="D101" s="19"/>
      <c r="E101" s="39"/>
      <c r="F101" s="28"/>
      <c r="G101" s="17"/>
      <c r="H101" s="33"/>
      <c r="I101" s="33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1"/>
      <c r="B102" s="32"/>
      <c r="C102" s="25"/>
      <c r="D102" s="19"/>
      <c r="E102" s="39"/>
      <c r="F102" s="28"/>
      <c r="G102" s="17"/>
      <c r="H102" s="33"/>
      <c r="I102" s="33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31"/>
      <c r="B103" s="32"/>
      <c r="C103" s="25"/>
      <c r="D103" s="19"/>
      <c r="E103" s="39"/>
      <c r="F103" s="28"/>
      <c r="G103" s="17"/>
      <c r="H103" s="33"/>
      <c r="I103" s="33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32"/>
      <c r="C104" s="25"/>
      <c r="D104" s="19"/>
      <c r="E104" s="39"/>
      <c r="F104" s="28"/>
      <c r="G104" s="17"/>
      <c r="H104" s="33"/>
      <c r="I104" s="33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x14ac:dyDescent="0.3">
      <c r="A105" s="31"/>
      <c r="B105" s="32"/>
      <c r="C105" s="25"/>
      <c r="D105" s="19"/>
      <c r="E105" s="39"/>
      <c r="F105" s="28"/>
      <c r="G105" s="17"/>
      <c r="H105" s="33"/>
      <c r="I105" s="33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x14ac:dyDescent="0.3">
      <c r="A106" s="31"/>
      <c r="B106" s="32"/>
      <c r="C106" s="25"/>
      <c r="D106" s="19"/>
      <c r="E106" s="39"/>
      <c r="F106" s="28"/>
      <c r="G106" s="17"/>
      <c r="H106" s="33"/>
      <c r="I106" s="33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31"/>
      <c r="B107" s="32"/>
      <c r="C107" s="25"/>
      <c r="D107" s="19"/>
      <c r="E107" s="39"/>
      <c r="F107" s="28"/>
      <c r="G107" s="17"/>
      <c r="H107" s="33"/>
      <c r="I107" s="33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x14ac:dyDescent="0.3">
      <c r="A108" s="31"/>
      <c r="B108" s="43"/>
      <c r="C108" s="25"/>
      <c r="D108" s="19"/>
      <c r="E108" s="39"/>
      <c r="F108" s="28"/>
      <c r="G108" s="17"/>
      <c r="H108" s="33"/>
      <c r="I108" s="33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31"/>
      <c r="B109" s="32"/>
      <c r="C109" s="25"/>
      <c r="D109" s="19"/>
      <c r="E109" s="39"/>
      <c r="F109" s="28"/>
      <c r="G109" s="17"/>
      <c r="H109" s="33"/>
      <c r="I109" s="33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32"/>
      <c r="C110" s="25"/>
      <c r="D110" s="19"/>
      <c r="E110" s="39"/>
      <c r="F110" s="28"/>
      <c r="G110" s="17"/>
      <c r="H110" s="33"/>
      <c r="I110" s="33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32"/>
      <c r="C111" s="25"/>
      <c r="D111" s="19"/>
      <c r="E111" s="39"/>
      <c r="F111" s="28"/>
      <c r="G111" s="17"/>
      <c r="H111" s="33"/>
      <c r="I111" s="33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32"/>
      <c r="C112" s="25"/>
      <c r="D112" s="19"/>
      <c r="E112" s="39"/>
      <c r="F112" s="28"/>
      <c r="G112" s="17"/>
      <c r="H112" s="33"/>
      <c r="I112" s="33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32"/>
      <c r="C113" s="25"/>
      <c r="D113" s="19"/>
      <c r="E113" s="39"/>
      <c r="F113" s="28"/>
      <c r="G113" s="17"/>
      <c r="H113" s="33"/>
      <c r="I113" s="33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43"/>
      <c r="C114" s="25"/>
      <c r="D114" s="19"/>
      <c r="E114" s="39"/>
      <c r="F114" s="28"/>
      <c r="G114" s="17"/>
      <c r="H114" s="33"/>
      <c r="I114" s="33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32"/>
      <c r="C115" s="25"/>
      <c r="D115" s="19"/>
      <c r="E115" s="39"/>
      <c r="F115" s="28"/>
      <c r="G115" s="17"/>
      <c r="H115" s="33"/>
      <c r="I115" s="33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32"/>
      <c r="C116" s="25"/>
      <c r="D116" s="19"/>
      <c r="E116" s="39"/>
      <c r="F116" s="28"/>
      <c r="G116" s="17"/>
      <c r="H116" s="33"/>
      <c r="I116" s="33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32"/>
      <c r="C117" s="25"/>
      <c r="D117" s="19"/>
      <c r="E117" s="39"/>
      <c r="F117" s="28"/>
      <c r="G117" s="17"/>
      <c r="H117" s="33"/>
      <c r="I117" s="33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32"/>
      <c r="C118" s="25"/>
      <c r="D118" s="19"/>
      <c r="E118" s="39"/>
      <c r="F118" s="28"/>
      <c r="G118" s="17"/>
      <c r="H118" s="33"/>
      <c r="I118" s="33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41"/>
      <c r="C119" s="25"/>
      <c r="D119" s="19"/>
      <c r="E119" s="39"/>
      <c r="F119" s="28"/>
      <c r="G119" s="17"/>
      <c r="H119" s="33"/>
      <c r="I119" s="33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41"/>
      <c r="C120" s="25"/>
      <c r="D120" s="19"/>
      <c r="E120" s="39"/>
      <c r="F120" s="28"/>
      <c r="G120" s="17"/>
      <c r="H120" s="33"/>
      <c r="I120" s="33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43"/>
      <c r="C121" s="25"/>
      <c r="D121" s="19"/>
      <c r="E121" s="39"/>
      <c r="F121" s="28"/>
      <c r="G121" s="17"/>
      <c r="H121" s="33"/>
      <c r="I121" s="33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32"/>
      <c r="C122" s="25"/>
      <c r="D122" s="19"/>
      <c r="E122" s="39"/>
      <c r="F122" s="28"/>
      <c r="G122" s="17"/>
      <c r="H122" s="33"/>
      <c r="I122" s="33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32"/>
      <c r="C123" s="25"/>
      <c r="D123" s="19"/>
      <c r="E123" s="39"/>
      <c r="F123" s="28"/>
      <c r="G123" s="17"/>
      <c r="H123" s="33"/>
      <c r="I123" s="33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32"/>
      <c r="C124" s="25"/>
      <c r="D124" s="19"/>
      <c r="E124" s="39"/>
      <c r="F124" s="28"/>
      <c r="G124" s="17"/>
      <c r="H124" s="33"/>
      <c r="I124" s="33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32"/>
      <c r="C125" s="25"/>
      <c r="D125" s="19"/>
      <c r="E125" s="39"/>
      <c r="F125" s="28"/>
      <c r="G125" s="17"/>
      <c r="H125" s="33"/>
      <c r="I125" s="33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43"/>
      <c r="C126" s="25"/>
      <c r="D126" s="19"/>
      <c r="E126" s="39"/>
      <c r="F126" s="28"/>
      <c r="G126" s="17"/>
      <c r="H126" s="33"/>
      <c r="I126" s="33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  <row r="127" spans="1:23" x14ac:dyDescent="0.3">
      <c r="A127" s="31"/>
      <c r="B127" s="32"/>
      <c r="C127" s="25"/>
      <c r="D127" s="19"/>
      <c r="E127" s="39"/>
      <c r="F127" s="28"/>
      <c r="G127" s="17"/>
      <c r="H127" s="33"/>
      <c r="I127" s="33"/>
      <c r="J127" s="34"/>
      <c r="K127" s="22"/>
      <c r="L127" s="23"/>
      <c r="M127" s="24"/>
      <c r="N127" s="23"/>
      <c r="O127" s="24"/>
      <c r="P127" s="23"/>
      <c r="Q127" s="24"/>
      <c r="R127" s="23"/>
      <c r="S127" s="24"/>
      <c r="T127" s="23"/>
      <c r="U127" s="24"/>
      <c r="V127" s="23"/>
      <c r="W127" s="24"/>
    </row>
    <row r="128" spans="1:23" x14ac:dyDescent="0.3">
      <c r="A128" s="31"/>
      <c r="B128" s="32"/>
      <c r="C128" s="25"/>
      <c r="D128" s="19"/>
      <c r="E128" s="39"/>
      <c r="F128" s="28"/>
      <c r="G128" s="17"/>
      <c r="H128" s="33"/>
      <c r="I128" s="33"/>
      <c r="J128" s="34"/>
      <c r="K128" s="22"/>
      <c r="L128" s="23"/>
      <c r="M128" s="24"/>
      <c r="N128" s="23"/>
      <c r="O128" s="24"/>
      <c r="P128" s="23"/>
      <c r="Q128" s="24"/>
      <c r="R128" s="23"/>
      <c r="S128" s="24"/>
      <c r="T128" s="23"/>
      <c r="U128" s="24"/>
      <c r="V128" s="23"/>
      <c r="W128" s="24"/>
    </row>
    <row r="129" spans="1:23" x14ac:dyDescent="0.3">
      <c r="A129" s="31"/>
      <c r="B129" s="32"/>
      <c r="C129" s="25"/>
      <c r="D129" s="19"/>
      <c r="E129" s="39"/>
      <c r="F129" s="28"/>
      <c r="G129" s="17"/>
      <c r="H129" s="33"/>
      <c r="I129" s="33"/>
      <c r="J129" s="34"/>
      <c r="K129" s="22"/>
      <c r="L129" s="23"/>
      <c r="M129" s="24"/>
      <c r="N129" s="23"/>
      <c r="O129" s="24"/>
      <c r="P129" s="23"/>
      <c r="Q129" s="24"/>
      <c r="R129" s="23"/>
      <c r="S129" s="24"/>
      <c r="T129" s="23"/>
      <c r="U129" s="24"/>
      <c r="V129" s="23"/>
      <c r="W129" s="24"/>
    </row>
    <row r="130" spans="1:23" x14ac:dyDescent="0.3">
      <c r="A130" s="31"/>
      <c r="B130" s="32"/>
      <c r="C130" s="25"/>
      <c r="D130" s="19"/>
      <c r="E130" s="39"/>
      <c r="F130" s="28"/>
      <c r="G130" s="17"/>
      <c r="H130" s="33"/>
      <c r="I130" s="33"/>
      <c r="J130" s="34"/>
      <c r="K130" s="22"/>
      <c r="L130" s="23"/>
      <c r="M130" s="24"/>
      <c r="N130" s="23"/>
      <c r="O130" s="24"/>
      <c r="P130" s="23"/>
      <c r="Q130" s="24"/>
      <c r="R130" s="23"/>
      <c r="S130" s="24"/>
      <c r="T130" s="23"/>
      <c r="U130" s="24"/>
      <c r="V130" s="23"/>
      <c r="W130" s="24"/>
    </row>
    <row r="131" spans="1:23" x14ac:dyDescent="0.3">
      <c r="A131" s="31"/>
      <c r="B131" s="43"/>
      <c r="C131" s="25"/>
      <c r="D131" s="19"/>
      <c r="E131" s="39"/>
      <c r="F131" s="28"/>
      <c r="G131" s="17"/>
      <c r="H131" s="33"/>
      <c r="I131" s="33"/>
      <c r="J131" s="34"/>
      <c r="K131" s="22"/>
      <c r="L131" s="23"/>
      <c r="M131" s="24"/>
      <c r="N131" s="23"/>
      <c r="O131" s="24"/>
      <c r="P131" s="23"/>
      <c r="Q131" s="24"/>
      <c r="R131" s="23"/>
      <c r="S131" s="24"/>
      <c r="T131" s="23"/>
      <c r="U131" s="24"/>
      <c r="V131" s="23"/>
      <c r="W131" s="24"/>
    </row>
    <row r="132" spans="1:23" x14ac:dyDescent="0.3">
      <c r="A132" s="31"/>
      <c r="B132" s="32"/>
      <c r="C132" s="25"/>
      <c r="D132" s="19"/>
      <c r="E132" s="39"/>
      <c r="F132" s="28"/>
      <c r="G132" s="17"/>
      <c r="H132" s="33"/>
      <c r="I132" s="33"/>
      <c r="J132" s="34"/>
      <c r="K132" s="22"/>
      <c r="L132" s="23"/>
      <c r="M132" s="24"/>
      <c r="N132" s="23"/>
      <c r="O132" s="24"/>
      <c r="P132" s="23"/>
      <c r="Q132" s="24"/>
      <c r="R132" s="23"/>
      <c r="S132" s="24"/>
      <c r="T132" s="23"/>
      <c r="U132" s="24"/>
      <c r="V132" s="23"/>
      <c r="W132" s="24"/>
    </row>
    <row r="133" spans="1:23" x14ac:dyDescent="0.3">
      <c r="A133" s="31"/>
      <c r="B133" s="5"/>
      <c r="C133" s="25"/>
      <c r="D133" s="19"/>
      <c r="E133" s="39"/>
      <c r="F133" s="28"/>
      <c r="G133" s="17"/>
      <c r="H133" s="33"/>
      <c r="I133" s="33"/>
      <c r="J133" s="34"/>
      <c r="K133" s="22"/>
      <c r="L133" s="23"/>
      <c r="M133" s="24"/>
      <c r="N133" s="23"/>
      <c r="O133" s="24"/>
      <c r="P133" s="23"/>
      <c r="Q133" s="24"/>
      <c r="R133" s="23"/>
      <c r="S133" s="24"/>
      <c r="T133" s="23"/>
      <c r="U133" s="24"/>
      <c r="V133" s="23"/>
      <c r="W133" s="24"/>
    </row>
    <row r="134" spans="1:23" x14ac:dyDescent="0.3">
      <c r="A134" s="31"/>
      <c r="B134" s="43"/>
      <c r="C134" s="25"/>
      <c r="D134" s="19"/>
      <c r="E134" s="39"/>
      <c r="F134" s="28"/>
      <c r="G134" s="17"/>
      <c r="H134" s="33"/>
      <c r="I134" s="33"/>
      <c r="J134" s="34"/>
      <c r="K134" s="22"/>
      <c r="L134" s="23"/>
      <c r="M134" s="24"/>
      <c r="N134" s="23"/>
      <c r="O134" s="24"/>
      <c r="P134" s="23"/>
      <c r="Q134" s="24"/>
      <c r="R134" s="23"/>
      <c r="S134" s="24"/>
      <c r="T134" s="23"/>
      <c r="U134" s="24"/>
      <c r="V134" s="23"/>
      <c r="W134" s="24"/>
    </row>
    <row r="135" spans="1:23" x14ac:dyDescent="0.3">
      <c r="A135" s="31"/>
      <c r="B135" s="41"/>
      <c r="C135" s="25"/>
      <c r="D135" s="19"/>
      <c r="E135" s="39"/>
      <c r="F135" s="28"/>
      <c r="G135" s="17"/>
      <c r="H135" s="33"/>
      <c r="I135" s="33"/>
      <c r="J135" s="34"/>
      <c r="K135" s="22"/>
      <c r="L135" s="23"/>
      <c r="M135" s="24"/>
      <c r="N135" s="23"/>
      <c r="O135" s="24"/>
      <c r="P135" s="23"/>
      <c r="Q135" s="24"/>
      <c r="R135" s="23"/>
      <c r="S135" s="24"/>
      <c r="T135" s="23"/>
      <c r="U135" s="24"/>
      <c r="V135" s="23"/>
      <c r="W135" s="24"/>
    </row>
    <row r="136" spans="1:23" x14ac:dyDescent="0.3">
      <c r="A136" s="31"/>
      <c r="B136" s="41"/>
      <c r="C136" s="25"/>
      <c r="D136" s="19"/>
      <c r="E136" s="39"/>
      <c r="F136" s="28"/>
      <c r="G136" s="17"/>
      <c r="H136" s="33"/>
      <c r="I136" s="33"/>
      <c r="J136" s="34"/>
      <c r="K136" s="22"/>
      <c r="L136" s="23"/>
      <c r="M136" s="24"/>
      <c r="N136" s="23"/>
      <c r="O136" s="24"/>
      <c r="P136" s="23"/>
      <c r="Q136" s="24"/>
      <c r="R136" s="23"/>
      <c r="S136" s="24"/>
      <c r="T136" s="23"/>
      <c r="U136" s="24"/>
      <c r="V136" s="23"/>
      <c r="W136" s="24"/>
    </row>
  </sheetData>
  <conditionalFormatting sqref="G2:G136">
    <cfRule type="cellIs" dxfId="12" priority="1" stopIfTrue="1" operator="equal">
      <formula>0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9320-98D5-410C-8F45-5AEE08DD97CC}">
  <sheetPr codeName="Sheet6">
    <tabColor rgb="FF0070C0"/>
  </sheetPr>
  <dimension ref="A1:AMJ125"/>
  <sheetViews>
    <sheetView zoomScale="80" zoomScaleNormal="80" workbookViewId="0">
      <pane xSplit="11" ySplit="1" topLeftCell="U2" activePane="bottomRight" state="frozen"/>
      <selection activeCell="D82" sqref="D82"/>
      <selection pane="topRight" activeCell="D82" sqref="D82"/>
      <selection pane="bottomLeft" activeCell="D82" sqref="D82"/>
      <selection pane="bottomRight" activeCell="W4" sqref="W4"/>
    </sheetView>
  </sheetViews>
  <sheetFormatPr defaultRowHeight="14.4" x14ac:dyDescent="0.3"/>
  <cols>
    <col min="1" max="1" width="10.44140625" style="37" bestFit="1" customWidth="1"/>
    <col min="2" max="2" width="8.6640625" style="63" customWidth="1"/>
    <col min="3" max="3" width="8.5546875" style="63" hidden="1" customWidth="1"/>
    <col min="4" max="4" width="19.6640625" style="16" bestFit="1" customWidth="1"/>
    <col min="5" max="5" width="16.5546875" style="16" bestFit="1" customWidth="1"/>
    <col min="6" max="6" width="8.109375" style="16" customWidth="1"/>
    <col min="7" max="7" width="6.33203125" style="16" customWidth="1"/>
    <col min="8" max="8" width="6.88671875" style="16" hidden="1" customWidth="1"/>
    <col min="9" max="9" width="9.5546875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8" si="0">RANK(K2,K$2:K$135,0)</f>
        <v>2</v>
      </c>
      <c r="B2" s="18">
        <v>2651</v>
      </c>
      <c r="C2" s="18" t="str">
        <f>_xlfn.XLOOKUP(__xlnm._FilterDatabase_157[[#This Row],[SAPSA Number]],Table1[SAPSA number],Table1[Paid up])</f>
        <v>Y</v>
      </c>
      <c r="D2" s="39" t="str">
        <f>_xlfn.XLOOKUP(__xlnm._FilterDatabase_157[[#This Row],[SAPSA Number]],Table1[SAPSA number],Table1[Name])</f>
        <v>Paul Herman</v>
      </c>
      <c r="E2" s="39" t="str">
        <f>_xlfn.XLOOKUP(__xlnm._FilterDatabase_157[[#This Row],[SAPSA Number]],Table1[SAPSA number],Table1[Surname])</f>
        <v>Leuschner</v>
      </c>
      <c r="F2" s="20" t="str">
        <f>_xlfn.XLOOKUP(__xlnm._FilterDatabase_157[[#This Row],[SAPSA Number]],Table1[SAPSA number],Table1[Initials])</f>
        <v>PH</v>
      </c>
      <c r="G2" s="17" t="str">
        <f ca="1">_xlfn.XLOOKUP(__xlnm._FilterDatabase_157[[#This Row],[SAPSA Number]],Table1[SAPSA number],Table1[Gender])</f>
        <v>S</v>
      </c>
      <c r="H2" s="19" t="e">
        <f>_xlfn.XLOOKUP(__xlnm._FilterDatabase_157[[#This Row],[SAPSA Number]],#REF!,#REF!)</f>
        <v>#REF!</v>
      </c>
      <c r="I2" s="19" t="s">
        <v>243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2</v>
      </c>
      <c r="K2" s="22">
        <f>(LARGE(L2:W2,1)+LARGE(L2:W2,2)+LARGE(L2:W2,3)+LARGE(L2:W2,4)+LARGE(L2:W2,5))/5</f>
        <v>40</v>
      </c>
      <c r="L2" s="23">
        <v>0</v>
      </c>
      <c r="M2" s="24">
        <v>0</v>
      </c>
      <c r="N2" s="79">
        <v>0</v>
      </c>
      <c r="O2" s="80">
        <v>0</v>
      </c>
      <c r="P2" s="79">
        <v>0</v>
      </c>
      <c r="Q2" s="80">
        <v>0</v>
      </c>
      <c r="R2" s="79">
        <v>0</v>
      </c>
      <c r="S2" s="80">
        <v>0</v>
      </c>
      <c r="T2" s="79">
        <v>100</v>
      </c>
      <c r="U2" s="80">
        <v>100</v>
      </c>
      <c r="V2" s="79">
        <v>0</v>
      </c>
      <c r="W2" s="80">
        <v>0</v>
      </c>
    </row>
    <row r="3" spans="1:23" ht="14.4" customHeight="1" x14ac:dyDescent="0.3">
      <c r="A3" s="17">
        <f t="shared" si="0"/>
        <v>1</v>
      </c>
      <c r="B3" s="88">
        <v>1113</v>
      </c>
      <c r="C3" s="18" t="str">
        <f>_xlfn.XLOOKUP(__xlnm._FilterDatabase_157[[#This Row],[SAPSA Number]],Table1[SAPSA number],Table1[Paid up])</f>
        <v>Y</v>
      </c>
      <c r="D3" s="39" t="str">
        <f>_xlfn.XLOOKUP(__xlnm._FilterDatabase_157[[#This Row],[SAPSA Number]],Table1[SAPSA number],Table1[Name])</f>
        <v>Frik</v>
      </c>
      <c r="E3" s="39" t="str">
        <f>_xlfn.XLOOKUP(__xlnm._FilterDatabase_157[[#This Row],[SAPSA Number]],Table1[SAPSA number],Table1[Surname])</f>
        <v>Truter</v>
      </c>
      <c r="F3" s="20" t="str">
        <f>_xlfn.XLOOKUP(__xlnm._FilterDatabase_157[[#This Row],[SAPSA Number]],Table1[SAPSA number],Table1[Initials])</f>
        <v>FC</v>
      </c>
      <c r="G3" s="17" t="str">
        <f ca="1">_xlfn.XLOOKUP(__xlnm._FilterDatabase_157[[#This Row],[SAPSA Number]],Table1[SAPSA number],Table1[Gender])</f>
        <v>SS</v>
      </c>
      <c r="H3" s="19" t="e">
        <f>_xlfn.XLOOKUP(__xlnm._FilterDatabase_157[[#This Row],[SAPSA Number]],#REF!,#REF!)</f>
        <v>#REF!</v>
      </c>
      <c r="I3" s="19" t="s">
        <v>243</v>
      </c>
      <c r="J3" s="21">
        <f t="shared" si="1"/>
        <v>3</v>
      </c>
      <c r="K3" s="22">
        <f>(LARGE(L3:W3,1)+LARGE(L3:W3,2)+LARGE(L3:W3,3)+LARGE(L3:W3,4)+LARGE(L3:W3,5))/5</f>
        <v>52.923140000000004</v>
      </c>
      <c r="L3" s="23">
        <v>0</v>
      </c>
      <c r="M3" s="24">
        <v>0</v>
      </c>
      <c r="N3" s="79">
        <v>0</v>
      </c>
      <c r="O3" s="80">
        <v>0</v>
      </c>
      <c r="P3" s="79">
        <v>0</v>
      </c>
      <c r="Q3" s="80">
        <v>0</v>
      </c>
      <c r="R3" s="79">
        <v>0</v>
      </c>
      <c r="S3" s="80">
        <v>100</v>
      </c>
      <c r="T3" s="79">
        <v>0</v>
      </c>
      <c r="U3" s="80">
        <v>64.615700000000004</v>
      </c>
      <c r="V3" s="79">
        <v>0</v>
      </c>
      <c r="W3" s="80">
        <v>100</v>
      </c>
    </row>
    <row r="4" spans="1:23" ht="14.4" customHeight="1" x14ac:dyDescent="0.3">
      <c r="A4" s="17">
        <f t="shared" si="0"/>
        <v>3</v>
      </c>
      <c r="B4" s="88">
        <v>206</v>
      </c>
      <c r="C4" s="18">
        <f>_xlfn.XLOOKUP(__xlnm._FilterDatabase_157[[#This Row],[SAPSA Number]],Table1[SAPSA number],Table1[Paid up])</f>
        <v>0</v>
      </c>
      <c r="D4" s="39" t="str">
        <f>_xlfn.XLOOKUP(__xlnm._FilterDatabase_157[[#This Row],[SAPSA Number]],Table1[SAPSA number],Table1[Name])</f>
        <v>Pierre Dewald</v>
      </c>
      <c r="E4" s="39" t="str">
        <f>_xlfn.XLOOKUP(__xlnm._FilterDatabase_157[[#This Row],[SAPSA Number]],Table1[SAPSA number],Table1[Surname])</f>
        <v>Wrogemann</v>
      </c>
      <c r="F4" s="20" t="str">
        <f>_xlfn.XLOOKUP(__xlnm._FilterDatabase_157[[#This Row],[SAPSA Number]],Table1[SAPSA number],Table1[Initials])</f>
        <v>PD</v>
      </c>
      <c r="G4" s="17" t="str">
        <f ca="1">_xlfn.XLOOKUP(__xlnm._FilterDatabase_157[[#This Row],[SAPSA Number]],Table1[SAPSA number],Table1[Gender])</f>
        <v>S</v>
      </c>
      <c r="H4" s="19" t="e">
        <f>_xlfn.XLOOKUP(__xlnm._FilterDatabase_157[[#This Row],[SAPSA Number]],#REF!,#REF!)</f>
        <v>#REF!</v>
      </c>
      <c r="I4" s="19" t="s">
        <v>243</v>
      </c>
      <c r="J4" s="21">
        <f t="shared" si="1"/>
        <v>1</v>
      </c>
      <c r="K4" s="22">
        <f t="shared" ref="K4:K23" si="2">(LARGE(L4:U4,1)+LARGE(L4:U4,2)+LARGE(L4:U4,3)+LARGE(L4:U4,4)+LARGE(L4:U4,5))/5</f>
        <v>20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100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80">
        <v>0</v>
      </c>
    </row>
    <row r="5" spans="1:23" ht="14.4" customHeight="1" x14ac:dyDescent="0.3">
      <c r="A5" s="17">
        <f t="shared" si="0"/>
        <v>4</v>
      </c>
      <c r="B5" s="88">
        <v>1471</v>
      </c>
      <c r="C5" s="18" t="str">
        <f>_xlfn.XLOOKUP(__xlnm._FilterDatabase_157[[#This Row],[SAPSA Number]],Table1[SAPSA number],Table1[Paid up])</f>
        <v>Y</v>
      </c>
      <c r="D5" s="39" t="str">
        <f>_xlfn.XLOOKUP(__xlnm._FilterDatabase_157[[#This Row],[SAPSA Number]],Table1[SAPSA number],Table1[Name])</f>
        <v>Nikolaus Phillip Karl</v>
      </c>
      <c r="E5" s="39" t="str">
        <f>_xlfn.XLOOKUP(__xlnm._FilterDatabase_157[[#This Row],[SAPSA Number]],Table1[SAPSA number],Table1[Surname])</f>
        <v>Bernhard</v>
      </c>
      <c r="F5" s="20" t="str">
        <f>_xlfn.XLOOKUP(__xlnm._FilterDatabase_157[[#This Row],[SAPSA Number]],Table1[SAPSA number],Table1[Initials])</f>
        <v>NPK</v>
      </c>
      <c r="G5" s="17" t="str">
        <f ca="1">_xlfn.XLOOKUP(__xlnm._FilterDatabase_157[[#This Row],[SAPSA Number]],Table1[SAPSA number],Table1[Gender])</f>
        <v xml:space="preserve"> </v>
      </c>
      <c r="H5" s="19" t="e">
        <f>_xlfn.XLOOKUP(__xlnm._FilterDatabase_157[[#This Row],[SAPSA Number]],#REF!,#REF!)</f>
        <v>#REF!</v>
      </c>
      <c r="I5" s="19" t="s">
        <v>243</v>
      </c>
      <c r="J5" s="21">
        <f t="shared" si="1"/>
        <v>0</v>
      </c>
      <c r="K5" s="22">
        <f t="shared" si="2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80">
        <v>0</v>
      </c>
    </row>
    <row r="6" spans="1:23" ht="14.4" customHeight="1" x14ac:dyDescent="0.3">
      <c r="A6" s="17">
        <f t="shared" si="0"/>
        <v>4</v>
      </c>
      <c r="B6" s="88">
        <v>4624</v>
      </c>
      <c r="C6" s="18" t="str">
        <f>_xlfn.XLOOKUP(__xlnm._FilterDatabase_157[[#This Row],[SAPSA Number]],Table1[SAPSA number],Table1[Paid up])</f>
        <v>Y</v>
      </c>
      <c r="D6" s="39" t="str">
        <f>_xlfn.XLOOKUP(__xlnm._FilterDatabase_157[[#This Row],[SAPSA Number]],Table1[SAPSA number],Table1[Name])</f>
        <v>Stephanus Christiaan</v>
      </c>
      <c r="E6" s="39" t="str">
        <f>_xlfn.XLOOKUP(__xlnm._FilterDatabase_157[[#This Row],[SAPSA Number]],Table1[SAPSA number],Table1[Surname])</f>
        <v>Bester</v>
      </c>
      <c r="F6" s="20" t="str">
        <f>_xlfn.XLOOKUP(__xlnm._FilterDatabase_157[[#This Row],[SAPSA Number]],Table1[SAPSA number],Table1[Initials])</f>
        <v>SC</v>
      </c>
      <c r="G6" s="17" t="str">
        <f ca="1">_xlfn.XLOOKUP(__xlnm._FilterDatabase_157[[#This Row],[SAPSA Number]],Table1[SAPSA number],Table1[Gender])</f>
        <v>S</v>
      </c>
      <c r="H6" s="19" t="e">
        <f>_xlfn.XLOOKUP(__xlnm._FilterDatabase_157[[#This Row],[SAPSA Number]],#REF!,#REF!)</f>
        <v>#REF!</v>
      </c>
      <c r="I6" s="19" t="s">
        <v>243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80">
        <v>0</v>
      </c>
    </row>
    <row r="7" spans="1:23" ht="14.4" customHeight="1" x14ac:dyDescent="0.3">
      <c r="A7" s="17">
        <f t="shared" si="0"/>
        <v>4</v>
      </c>
      <c r="B7" s="18">
        <v>7431</v>
      </c>
      <c r="C7" s="18">
        <f>_xlfn.XLOOKUP(__xlnm._FilterDatabase_157[[#This Row],[SAPSA Number]],Table1[SAPSA number],Table1[Paid up])</f>
        <v>0</v>
      </c>
      <c r="D7" s="39" t="str">
        <f>_xlfn.XLOOKUP(__xlnm._FilterDatabase_157[[#This Row],[SAPSA Number]],Table1[SAPSA number],Table1[Name])</f>
        <v>Anton</v>
      </c>
      <c r="E7" s="39" t="str">
        <f>_xlfn.XLOOKUP(__xlnm._FilterDatabase_157[[#This Row],[SAPSA Number]],Table1[SAPSA number],Table1[Surname])</f>
        <v>Booyse</v>
      </c>
      <c r="F7" s="20" t="str">
        <f>_xlfn.XLOOKUP(__xlnm._FilterDatabase_157[[#This Row],[SAPSA Number]],Table1[SAPSA number],Table1[Initials])</f>
        <v>A</v>
      </c>
      <c r="G7" s="17">
        <f>_xlfn.XLOOKUP(__xlnm._FilterDatabase_157[[#This Row],[SAPSA Number]],Table1[SAPSA number],Table1[Gender])</f>
        <v>0</v>
      </c>
      <c r="H7" s="19" t="e">
        <f>_xlfn.XLOOKUP(__xlnm._FilterDatabase_157[[#This Row],[SAPSA Number]],#REF!,#REF!)</f>
        <v>#REF!</v>
      </c>
      <c r="I7" s="19" t="s">
        <v>243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80">
        <v>0</v>
      </c>
    </row>
    <row r="8" spans="1:23" ht="14.4" customHeight="1" x14ac:dyDescent="0.3">
      <c r="A8" s="17">
        <f t="shared" si="0"/>
        <v>4</v>
      </c>
      <c r="B8" s="18">
        <v>3349</v>
      </c>
      <c r="C8" s="18">
        <f>_xlfn.XLOOKUP(__xlnm._FilterDatabase_157[[#This Row],[SAPSA Number]],Table1[SAPSA number],Table1[Paid up])</f>
        <v>0</v>
      </c>
      <c r="D8" s="39" t="str">
        <f>_xlfn.XLOOKUP(__xlnm._FilterDatabase_157[[#This Row],[SAPSA Number]],Table1[SAPSA number],Table1[Name])</f>
        <v>Stefanus Christiaan</v>
      </c>
      <c r="E8" s="39" t="str">
        <f>_xlfn.XLOOKUP(__xlnm._FilterDatabase_157[[#This Row],[SAPSA Number]],Table1[SAPSA number],Table1[Surname])</f>
        <v>Bosch</v>
      </c>
      <c r="F8" s="20" t="str">
        <f>_xlfn.XLOOKUP(__xlnm._FilterDatabase_157[[#This Row],[SAPSA Number]],Table1[SAPSA number],Table1[Initials])</f>
        <v>SC</v>
      </c>
      <c r="G8" s="17" t="str">
        <f ca="1">_xlfn.XLOOKUP(__xlnm._FilterDatabase_157[[#This Row],[SAPSA Number]],Table1[SAPSA number],Table1[Gender])</f>
        <v>S</v>
      </c>
      <c r="H8" s="19" t="e">
        <f>_xlfn.XLOOKUP(__xlnm._FilterDatabase_157[[#This Row],[SAPSA Number]],#REF!,#REF!)</f>
        <v>#REF!</v>
      </c>
      <c r="I8" s="19" t="s">
        <v>243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80">
        <v>0</v>
      </c>
    </row>
    <row r="9" spans="1:23" ht="14.4" customHeight="1" x14ac:dyDescent="0.3">
      <c r="A9" s="17">
        <f>RANK(K9,K$2:K$154,0)</f>
        <v>4</v>
      </c>
      <c r="B9" s="18">
        <v>4621</v>
      </c>
      <c r="C9" s="18">
        <f>_xlfn.XLOOKUP(__xlnm._FilterDatabase_157[[#This Row],[SAPSA Number]],Table1[SAPSA number],Table1[Paid up])</f>
        <v>0</v>
      </c>
      <c r="D9" s="39" t="str">
        <f>_xlfn.XLOOKUP(__xlnm._FilterDatabase_157[[#This Row],[SAPSA Number]],Table1[SAPSA number],Table1[Name])</f>
        <v>Colin</v>
      </c>
      <c r="E9" s="39" t="str">
        <f>_xlfn.XLOOKUP(__xlnm._FilterDatabase_157[[#This Row],[SAPSA Number]],Table1[SAPSA number],Table1[Surname])</f>
        <v>Bowring</v>
      </c>
      <c r="F9" s="20" t="str">
        <f>_xlfn.XLOOKUP(__xlnm._FilterDatabase_157[[#This Row],[SAPSA Number]],Table1[SAPSA number],Table1[Initials])</f>
        <v>C</v>
      </c>
      <c r="G9" s="17" t="str">
        <f ca="1">_xlfn.XLOOKUP(__xlnm._FilterDatabase_157[[#This Row],[SAPSA Number]],Table1[SAPSA number],Table1[Gender])</f>
        <v>SS</v>
      </c>
      <c r="H9" s="19" t="e">
        <f>_xlfn.XLOOKUP(__xlnm._FilterDatabase_157[[#This Row],[SAPSA Number]],#REF!,#REF!)</f>
        <v>#REF!</v>
      </c>
      <c r="I9" s="19" t="s">
        <v>243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80">
        <v>0</v>
      </c>
    </row>
    <row r="10" spans="1:23" ht="14.4" customHeight="1" x14ac:dyDescent="0.3">
      <c r="A10" s="17">
        <f t="shared" ref="A10:A41" si="3">RANK(K10,K$2:K$135,0)</f>
        <v>4</v>
      </c>
      <c r="B10" s="18">
        <v>3338</v>
      </c>
      <c r="C10" s="18">
        <f>_xlfn.XLOOKUP(__xlnm._FilterDatabase_157[[#This Row],[SAPSA Number]],Table1[SAPSA number],Table1[Paid up])</f>
        <v>0</v>
      </c>
      <c r="D10" s="39" t="str">
        <f>_xlfn.XLOOKUP(__xlnm._FilterDatabase_157[[#This Row],[SAPSA Number]],Table1[SAPSA number],Table1[Name])</f>
        <v>Carl Johann</v>
      </c>
      <c r="E10" s="39" t="str">
        <f>_xlfn.XLOOKUP(__xlnm._FilterDatabase_157[[#This Row],[SAPSA Number]],Table1[SAPSA number],Table1[Surname])</f>
        <v>Brandt</v>
      </c>
      <c r="F10" s="20" t="str">
        <f>_xlfn.XLOOKUP(__xlnm._FilterDatabase_157[[#This Row],[SAPSA Number]],Table1[SAPSA number],Table1[Initials])</f>
        <v>CJ</v>
      </c>
      <c r="G10" s="17" t="str">
        <f ca="1">_xlfn.XLOOKUP(__xlnm._FilterDatabase_157[[#This Row],[SAPSA Number]],Table1[SAPSA number],Table1[Gender])</f>
        <v>S</v>
      </c>
      <c r="H10" s="19" t="e">
        <f>_xlfn.XLOOKUP(__xlnm._FilterDatabase_157[[#This Row],[SAPSA Number]],#REF!,#REF!)</f>
        <v>#REF!</v>
      </c>
      <c r="I10" s="19" t="s">
        <v>243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80">
        <v>0</v>
      </c>
    </row>
    <row r="11" spans="1:23" ht="14.4" customHeight="1" x14ac:dyDescent="0.3">
      <c r="A11" s="17">
        <f t="shared" si="3"/>
        <v>4</v>
      </c>
      <c r="B11" s="88">
        <v>3350</v>
      </c>
      <c r="C11" s="18">
        <f>_xlfn.XLOOKUP(__xlnm._FilterDatabase_157[[#This Row],[SAPSA Number]],Table1[SAPSA number],Table1[Paid up])</f>
        <v>0</v>
      </c>
      <c r="D11" s="39" t="str">
        <f>_xlfn.XLOOKUP(__xlnm._FilterDatabase_157[[#This Row],[SAPSA Number]],Table1[SAPSA number],Table1[Name])</f>
        <v>Conrad Ernest</v>
      </c>
      <c r="E11" s="39" t="str">
        <f>_xlfn.XLOOKUP(__xlnm._FilterDatabase_157[[#This Row],[SAPSA Number]],Table1[SAPSA number],Table1[Surname])</f>
        <v>Brandt</v>
      </c>
      <c r="F11" s="20" t="str">
        <f>_xlfn.XLOOKUP(__xlnm._FilterDatabase_157[[#This Row],[SAPSA Number]],Table1[SAPSA number],Table1[Initials])</f>
        <v>CE</v>
      </c>
      <c r="G11" s="17" t="str">
        <f ca="1">_xlfn.XLOOKUP(__xlnm._FilterDatabase_157[[#This Row],[SAPSA Number]],Table1[SAPSA number],Table1[Gender])</f>
        <v>S</v>
      </c>
      <c r="H11" s="19" t="e">
        <f>_xlfn.XLOOKUP(__xlnm._FilterDatabase_157[[#This Row],[SAPSA Number]],#REF!,#REF!)</f>
        <v>#REF!</v>
      </c>
      <c r="I11" s="19" t="s">
        <v>243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80">
        <v>0</v>
      </c>
    </row>
    <row r="12" spans="1:23" ht="14.4" customHeight="1" x14ac:dyDescent="0.3">
      <c r="A12" s="17">
        <f t="shared" si="3"/>
        <v>4</v>
      </c>
      <c r="B12" s="88">
        <v>3576</v>
      </c>
      <c r="C12" s="18" t="str">
        <f>_xlfn.XLOOKUP(__xlnm._FilterDatabase_157[[#This Row],[SAPSA Number]],Table1[SAPSA number],Table1[Paid up])</f>
        <v>Y</v>
      </c>
      <c r="D12" s="39" t="str">
        <f>_xlfn.XLOOKUP(__xlnm._FilterDatabase_157[[#This Row],[SAPSA Number]],Table1[SAPSA number],Table1[Name])</f>
        <v>Christoff Mechiel</v>
      </c>
      <c r="E12" s="39" t="str">
        <f>_xlfn.XLOOKUP(__xlnm._FilterDatabase_157[[#This Row],[SAPSA Number]],Table1[SAPSA number],Table1[Surname])</f>
        <v>Brandt</v>
      </c>
      <c r="F12" s="20" t="str">
        <f>_xlfn.XLOOKUP(__xlnm._FilterDatabase_157[[#This Row],[SAPSA Number]],Table1[SAPSA number],Table1[Initials])</f>
        <v>CM</v>
      </c>
      <c r="G12" s="17" t="str">
        <f ca="1">_xlfn.XLOOKUP(__xlnm._FilterDatabase_157[[#This Row],[SAPSA Number]],Table1[SAPSA number],Table1[Gender])</f>
        <v xml:space="preserve"> </v>
      </c>
      <c r="H12" s="19" t="e">
        <f>_xlfn.XLOOKUP(__xlnm._FilterDatabase_157[[#This Row],[SAPSA Number]],#REF!,#REF!)</f>
        <v>#REF!</v>
      </c>
      <c r="I12" s="19" t="s">
        <v>243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80">
        <v>0</v>
      </c>
    </row>
    <row r="13" spans="1:23" ht="14.4" customHeight="1" x14ac:dyDescent="0.3">
      <c r="A13" s="17">
        <f t="shared" si="3"/>
        <v>4</v>
      </c>
      <c r="B13" s="18">
        <v>5304</v>
      </c>
      <c r="C13" s="18">
        <f>_xlfn.XLOOKUP(__xlnm._FilterDatabase_157[[#This Row],[SAPSA Number]],Table1[SAPSA number],Table1[Paid up])</f>
        <v>0</v>
      </c>
      <c r="D13" s="39" t="str">
        <f>_xlfn.XLOOKUP(__xlnm._FilterDatabase_157[[#This Row],[SAPSA Number]],Table1[SAPSA number],Table1[Name])</f>
        <v>Johan Gerard</v>
      </c>
      <c r="E13" s="39" t="str">
        <f>_xlfn.XLOOKUP(__xlnm._FilterDatabase_157[[#This Row],[SAPSA Number]],Table1[SAPSA number],Table1[Surname])</f>
        <v>Bultman</v>
      </c>
      <c r="F13" s="20" t="str">
        <f>_xlfn.XLOOKUP(__xlnm._FilterDatabase_157[[#This Row],[SAPSA Number]],Table1[SAPSA number],Table1[Initials])</f>
        <v>JG</v>
      </c>
      <c r="G13" s="17" t="str">
        <f ca="1">_xlfn.XLOOKUP(__xlnm._FilterDatabase_157[[#This Row],[SAPSA Number]],Table1[SAPSA number],Table1[Gender])</f>
        <v xml:space="preserve"> </v>
      </c>
      <c r="H13" s="19" t="e">
        <f>_xlfn.XLOOKUP(__xlnm._FilterDatabase_157[[#This Row],[SAPSA Number]],#REF!,#REF!)</f>
        <v>#REF!</v>
      </c>
      <c r="I13" s="19" t="s">
        <v>243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80">
        <v>0</v>
      </c>
    </row>
    <row r="14" spans="1:23" ht="14.4" customHeight="1" x14ac:dyDescent="0.3">
      <c r="A14" s="17">
        <f t="shared" si="3"/>
        <v>4</v>
      </c>
      <c r="B14" s="88">
        <v>259</v>
      </c>
      <c r="C14" s="18" t="str">
        <f>_xlfn.XLOOKUP(__xlnm._FilterDatabase_157[[#This Row],[SAPSA Number]],Table1[SAPSA number],Table1[Paid up])</f>
        <v>Y</v>
      </c>
      <c r="D14" s="39" t="str">
        <f>_xlfn.XLOOKUP(__xlnm._FilterDatabase_157[[#This Row],[SAPSA Number]],Table1[SAPSA number],Table1[Name])</f>
        <v>Kathleen Beresford</v>
      </c>
      <c r="E14" s="39" t="str">
        <f>_xlfn.XLOOKUP(__xlnm._FilterDatabase_157[[#This Row],[SAPSA Number]],Table1[SAPSA number],Table1[Surname])</f>
        <v>Carter</v>
      </c>
      <c r="F14" s="20" t="str">
        <f>_xlfn.XLOOKUP(__xlnm._FilterDatabase_157[[#This Row],[SAPSA Number]],Table1[SAPSA number],Table1[Initials])</f>
        <v>KB</v>
      </c>
      <c r="G14" s="17" t="str">
        <f>_xlfn.XLOOKUP(__xlnm._FilterDatabase_157[[#This Row],[SAPSA Number]],Table1[SAPSA number],Table1[Gender])</f>
        <v>Lady</v>
      </c>
      <c r="H14" s="19" t="e">
        <f>_xlfn.XLOOKUP(__xlnm._FilterDatabase_157[[#This Row],[SAPSA Number]],#REF!,#REF!)</f>
        <v>#REF!</v>
      </c>
      <c r="I14" s="19" t="s">
        <v>243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80">
        <v>0</v>
      </c>
    </row>
    <row r="15" spans="1:23" ht="14.4" customHeight="1" x14ac:dyDescent="0.3">
      <c r="A15" s="17">
        <f t="shared" si="3"/>
        <v>4</v>
      </c>
      <c r="B15" s="88">
        <v>4316</v>
      </c>
      <c r="C15" s="18" t="str">
        <f>_xlfn.XLOOKUP(__xlnm._FilterDatabase_157[[#This Row],[SAPSA Number]],Table1[SAPSA number],Table1[Paid up])</f>
        <v>Y</v>
      </c>
      <c r="D15" s="39" t="str">
        <f>_xlfn.XLOOKUP(__xlnm._FilterDatabase_157[[#This Row],[SAPSA Number]],Table1[SAPSA number],Table1[Name])</f>
        <v>Wilhelm Jacobus</v>
      </c>
      <c r="E15" s="39" t="str">
        <f>_xlfn.XLOOKUP(__xlnm._FilterDatabase_157[[#This Row],[SAPSA Number]],Table1[SAPSA number],Table1[Surname])</f>
        <v>Coetzee</v>
      </c>
      <c r="F15" s="20" t="str">
        <f>_xlfn.XLOOKUP(__xlnm._FilterDatabase_157[[#This Row],[SAPSA Number]],Table1[SAPSA number],Table1[Initials])</f>
        <v>WJ</v>
      </c>
      <c r="G15" s="17" t="str">
        <f ca="1">_xlfn.XLOOKUP(__xlnm._FilterDatabase_157[[#This Row],[SAPSA Number]],Table1[SAPSA number],Table1[Gender])</f>
        <v>S</v>
      </c>
      <c r="H15" s="19" t="e">
        <f>_xlfn.XLOOKUP(__xlnm._FilterDatabase_157[[#This Row],[SAPSA Number]],#REF!,#REF!)</f>
        <v>#REF!</v>
      </c>
      <c r="I15" s="19" t="s">
        <v>243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80">
        <v>0</v>
      </c>
    </row>
    <row r="16" spans="1:23" ht="14.4" customHeight="1" x14ac:dyDescent="0.3">
      <c r="A16" s="17">
        <f t="shared" si="3"/>
        <v>4</v>
      </c>
      <c r="B16" s="91">
        <v>591</v>
      </c>
      <c r="C16" s="18" t="str">
        <f>_xlfn.XLOOKUP(__xlnm._FilterDatabase_157[[#This Row],[SAPSA Number]],Table1[SAPSA number],Table1[Paid up])</f>
        <v>Y</v>
      </c>
      <c r="D16" s="39" t="str">
        <f>_xlfn.XLOOKUP(__xlnm._FilterDatabase_157[[#This Row],[SAPSA Number]],Table1[SAPSA number],Table1[Name])</f>
        <v>Enrico</v>
      </c>
      <c r="E16" s="39" t="str">
        <f>_xlfn.XLOOKUP(__xlnm._FilterDatabase_157[[#This Row],[SAPSA Number]],Table1[SAPSA number],Table1[Surname])</f>
        <v>Cupido</v>
      </c>
      <c r="F16" s="20" t="str">
        <f>_xlfn.XLOOKUP(__xlnm._FilterDatabase_157[[#This Row],[SAPSA Number]],Table1[SAPSA number],Table1[Initials])</f>
        <v>E</v>
      </c>
      <c r="G16" s="17" t="str">
        <f ca="1">_xlfn.XLOOKUP(__xlnm._FilterDatabase_157[[#This Row],[SAPSA Number]],Table1[SAPSA number],Table1[Gender])</f>
        <v>GS</v>
      </c>
      <c r="H16" s="19" t="e">
        <f>_xlfn.XLOOKUP(__xlnm._FilterDatabase_157[[#This Row],[SAPSA Number]],#REF!,#REF!)</f>
        <v>#REF!</v>
      </c>
      <c r="I16" s="19" t="s">
        <v>243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80">
        <v>0</v>
      </c>
    </row>
    <row r="17" spans="1:23" ht="14.4" customHeight="1" x14ac:dyDescent="0.3">
      <c r="A17" s="17">
        <f t="shared" si="3"/>
        <v>4</v>
      </c>
      <c r="B17" s="18">
        <v>601</v>
      </c>
      <c r="C17" s="18" t="str">
        <f>_xlfn.XLOOKUP(__xlnm._FilterDatabase_157[[#This Row],[SAPSA Number]],Table1[SAPSA number],Table1[Paid up])</f>
        <v>Y</v>
      </c>
      <c r="D17" s="39" t="str">
        <f>_xlfn.XLOOKUP(__xlnm._FilterDatabase_157[[#This Row],[SAPSA Number]],Table1[SAPSA number],Table1[Name])</f>
        <v>Piero</v>
      </c>
      <c r="E17" s="39" t="str">
        <f>_xlfn.XLOOKUP(__xlnm._FilterDatabase_157[[#This Row],[SAPSA Number]],Table1[SAPSA number],Table1[Surname])</f>
        <v>Cupido</v>
      </c>
      <c r="F17" s="20" t="str">
        <f>_xlfn.XLOOKUP(__xlnm._FilterDatabase_157[[#This Row],[SAPSA Number]],Table1[SAPSA number],Table1[Initials])</f>
        <v>P</v>
      </c>
      <c r="G17" s="17" t="str">
        <f ca="1">_xlfn.XLOOKUP(__xlnm._FilterDatabase_157[[#This Row],[SAPSA Number]],Table1[SAPSA number],Table1[Gender])</f>
        <v xml:space="preserve"> </v>
      </c>
      <c r="H17" s="19" t="e">
        <f>_xlfn.XLOOKUP(__xlnm._FilterDatabase_157[[#This Row],[SAPSA Number]],#REF!,#REF!)</f>
        <v>#REF!</v>
      </c>
      <c r="I17" s="19" t="s">
        <v>243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80">
        <v>0</v>
      </c>
    </row>
    <row r="18" spans="1:23" ht="14.4" customHeight="1" x14ac:dyDescent="0.3">
      <c r="A18" s="17">
        <f t="shared" si="3"/>
        <v>4</v>
      </c>
      <c r="B18" s="89">
        <v>288</v>
      </c>
      <c r="C18" s="18" t="str">
        <f>_xlfn.XLOOKUP(__xlnm._FilterDatabase_157[[#This Row],[SAPSA Number]],Table1[SAPSA number],Table1[Paid up])</f>
        <v>Y</v>
      </c>
      <c r="D18" s="39" t="str">
        <f>_xlfn.XLOOKUP(__xlnm._FilterDatabase_157[[#This Row],[SAPSA Number]],Table1[SAPSA number],Table1[Name])</f>
        <v>Feroz</v>
      </c>
      <c r="E18" s="39" t="str">
        <f>_xlfn.XLOOKUP(__xlnm._FilterDatabase_157[[#This Row],[SAPSA Number]],Table1[SAPSA number],Table1[Surname])</f>
        <v>Daya</v>
      </c>
      <c r="F18" s="20" t="str">
        <f>_xlfn.XLOOKUP(__xlnm._FilterDatabase_157[[#This Row],[SAPSA Number]],Table1[SAPSA number],Table1[Initials])</f>
        <v>F</v>
      </c>
      <c r="G18" s="17" t="str">
        <f ca="1">_xlfn.XLOOKUP(__xlnm._FilterDatabase_157[[#This Row],[SAPSA Number]],Table1[SAPSA number],Table1[Gender])</f>
        <v>S</v>
      </c>
      <c r="H18" s="19" t="e">
        <f>_xlfn.XLOOKUP(__xlnm._FilterDatabase_157[[#This Row],[SAPSA Number]],#REF!,#REF!)</f>
        <v>#REF!</v>
      </c>
      <c r="I18" s="19" t="s">
        <v>243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80">
        <v>0</v>
      </c>
    </row>
    <row r="19" spans="1:23" ht="14.4" customHeight="1" x14ac:dyDescent="0.3">
      <c r="A19" s="17">
        <f t="shared" si="3"/>
        <v>4</v>
      </c>
      <c r="B19" s="88">
        <v>6846</v>
      </c>
      <c r="C19" s="18">
        <f>_xlfn.XLOOKUP(__xlnm._FilterDatabase_157[[#This Row],[SAPSA Number]],Table1[SAPSA number],Table1[Paid up])</f>
        <v>0</v>
      </c>
      <c r="D19" s="39" t="str">
        <f>_xlfn.XLOOKUP(__xlnm._FilterDatabase_157[[#This Row],[SAPSA Number]],Table1[SAPSA number],Table1[Name])</f>
        <v>Daniel Stephanus Jacobus</v>
      </c>
      <c r="E19" s="39" t="str">
        <f>_xlfn.XLOOKUP(__xlnm._FilterDatabase_157[[#This Row],[SAPSA Number]],Table1[SAPSA number],Table1[Surname])</f>
        <v>Dreyer</v>
      </c>
      <c r="F19" s="20" t="str">
        <f>_xlfn.XLOOKUP(__xlnm._FilterDatabase_157[[#This Row],[SAPSA Number]],Table1[SAPSA number],Table1[Initials])</f>
        <v>DSJ</v>
      </c>
      <c r="G19" s="17" t="str">
        <f ca="1">_xlfn.XLOOKUP(__xlnm._FilterDatabase_157[[#This Row],[SAPSA Number]],Table1[SAPSA number],Table1[Gender])</f>
        <v xml:space="preserve"> </v>
      </c>
      <c r="H19" s="19" t="e">
        <f>_xlfn.XLOOKUP(__xlnm._FilterDatabase_157[[#This Row],[SAPSA Number]],#REF!,#REF!)</f>
        <v>#REF!</v>
      </c>
      <c r="I19" s="19" t="s">
        <v>243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80">
        <v>0</v>
      </c>
    </row>
    <row r="20" spans="1:23" ht="14.4" customHeight="1" x14ac:dyDescent="0.3">
      <c r="A20" s="17">
        <f t="shared" si="3"/>
        <v>4</v>
      </c>
      <c r="B20" s="88">
        <v>392</v>
      </c>
      <c r="C20" s="18" t="str">
        <f>_xlfn.XLOOKUP(__xlnm._FilterDatabase_157[[#This Row],[SAPSA Number]],Table1[SAPSA number],Table1[Paid up])</f>
        <v>Y</v>
      </c>
      <c r="D20" s="39" t="str">
        <f>_xlfn.XLOOKUP(__xlnm._FilterDatabase_157[[#This Row],[SAPSA Number]],Table1[SAPSA number],Table1[Name])</f>
        <v>Sasha-Lee</v>
      </c>
      <c r="E20" s="39" t="str">
        <f>_xlfn.XLOOKUP(__xlnm._FilterDatabase_157[[#This Row],[SAPSA Number]],Table1[SAPSA number],Table1[Surname])</f>
        <v>Du Plessis</v>
      </c>
      <c r="F20" s="20" t="str">
        <f>_xlfn.XLOOKUP(__xlnm._FilterDatabase_157[[#This Row],[SAPSA Number]],Table1[SAPSA number],Table1[Initials])</f>
        <v>SL</v>
      </c>
      <c r="G20" s="17" t="str">
        <f>_xlfn.XLOOKUP(__xlnm._FilterDatabase_157[[#This Row],[SAPSA Number]],Table1[SAPSA number],Table1[Gender])</f>
        <v>Lady</v>
      </c>
      <c r="H20" s="19" t="e">
        <f>_xlfn.XLOOKUP(__xlnm._FilterDatabase_157[[#This Row],[SAPSA Number]],#REF!,#REF!)</f>
        <v>#REF!</v>
      </c>
      <c r="I20" s="19" t="s">
        <v>243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80">
        <v>0</v>
      </c>
    </row>
    <row r="21" spans="1:23" ht="14.4" customHeight="1" x14ac:dyDescent="0.3">
      <c r="A21" s="17">
        <f t="shared" si="3"/>
        <v>4</v>
      </c>
      <c r="B21" s="18">
        <v>127</v>
      </c>
      <c r="C21" s="18" t="str">
        <f>_xlfn.XLOOKUP(__xlnm._FilterDatabase_157[[#This Row],[SAPSA Number]],Table1[SAPSA number],Table1[Paid up])</f>
        <v>Y</v>
      </c>
      <c r="D21" s="39" t="str">
        <f>_xlfn.XLOOKUP(__xlnm._FilterDatabase_157[[#This Row],[SAPSA Number]],Table1[SAPSA number],Table1[Name])</f>
        <v>Eurika Susara</v>
      </c>
      <c r="E21" s="39" t="str">
        <f>_xlfn.XLOOKUP(__xlnm._FilterDatabase_157[[#This Row],[SAPSA Number]],Table1[SAPSA number],Table1[Surname])</f>
        <v>Du Plooy</v>
      </c>
      <c r="F21" s="20" t="str">
        <f>_xlfn.XLOOKUP(__xlnm._FilterDatabase_157[[#This Row],[SAPSA Number]],Table1[SAPSA number],Table1[Initials])</f>
        <v>E</v>
      </c>
      <c r="G21" s="17" t="str">
        <f>_xlfn.XLOOKUP(__xlnm._FilterDatabase_157[[#This Row],[SAPSA Number]],Table1[SAPSA number],Table1[Gender])</f>
        <v>SS</v>
      </c>
      <c r="H21" s="19" t="e">
        <f>_xlfn.XLOOKUP(__xlnm._FilterDatabase_157[[#This Row],[SAPSA Number]],#REF!,#REF!)</f>
        <v>#REF!</v>
      </c>
      <c r="I21" s="19" t="s">
        <v>243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80">
        <v>0</v>
      </c>
    </row>
    <row r="22" spans="1:23" ht="14.4" customHeight="1" x14ac:dyDescent="0.3">
      <c r="A22" s="17">
        <f t="shared" si="3"/>
        <v>4</v>
      </c>
      <c r="B22" s="88">
        <v>393</v>
      </c>
      <c r="C22" s="18" t="str">
        <f>_xlfn.XLOOKUP(__xlnm._FilterDatabase_157[[#This Row],[SAPSA Number]],Table1[SAPSA number],Table1[Paid up])</f>
        <v>Y</v>
      </c>
      <c r="D22" s="39" t="str">
        <f>_xlfn.XLOOKUP(__xlnm._FilterDatabase_157[[#This Row],[SAPSA Number]],Table1[SAPSA number],Table1[Name])</f>
        <v>Robyn Angela</v>
      </c>
      <c r="E22" s="39" t="str">
        <f>_xlfn.XLOOKUP(__xlnm._FilterDatabase_157[[#This Row],[SAPSA Number]],Table1[SAPSA number],Table1[Surname])</f>
        <v>Evans</v>
      </c>
      <c r="F22" s="20" t="str">
        <f>_xlfn.XLOOKUP(__xlnm._FilterDatabase_157[[#This Row],[SAPSA Number]],Table1[SAPSA number],Table1[Initials])</f>
        <v>RA</v>
      </c>
      <c r="G22" s="17" t="str">
        <f>_xlfn.XLOOKUP(__xlnm._FilterDatabase_157[[#This Row],[SAPSA Number]],Table1[SAPSA number],Table1[Gender])</f>
        <v>Lady</v>
      </c>
      <c r="H22" s="19" t="e">
        <f>_xlfn.XLOOKUP(__xlnm._FilterDatabase_157[[#This Row],[SAPSA Number]],#REF!,#REF!)</f>
        <v>#REF!</v>
      </c>
      <c r="I22" s="19" t="s">
        <v>243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80">
        <v>0</v>
      </c>
    </row>
    <row r="23" spans="1:23" ht="14.4" customHeight="1" x14ac:dyDescent="0.3">
      <c r="A23" s="17">
        <f t="shared" si="3"/>
        <v>4</v>
      </c>
      <c r="B23" s="88">
        <v>3172</v>
      </c>
      <c r="C23" s="18" t="str">
        <f>_xlfn.XLOOKUP(__xlnm._FilterDatabase_157[[#This Row],[SAPSA Number]],Table1[SAPSA number],Table1[Paid up])</f>
        <v>Y</v>
      </c>
      <c r="D23" s="39" t="str">
        <f>_xlfn.XLOOKUP(__xlnm._FilterDatabase_157[[#This Row],[SAPSA Number]],Table1[SAPSA number],Table1[Name])</f>
        <v>Mervyn-John</v>
      </c>
      <c r="E23" s="39" t="str">
        <f>_xlfn.XLOOKUP(__xlnm._FilterDatabase_157[[#This Row],[SAPSA Number]],Table1[SAPSA number],Table1[Surname])</f>
        <v>Evans</v>
      </c>
      <c r="F23" s="20" t="str">
        <f>_xlfn.XLOOKUP(__xlnm._FilterDatabase_157[[#This Row],[SAPSA Number]],Table1[SAPSA number],Table1[Initials])</f>
        <v>MJ</v>
      </c>
      <c r="G23" s="17" t="str">
        <f ca="1">_xlfn.XLOOKUP(__xlnm._FilterDatabase_157[[#This Row],[SAPSA Number]],Table1[SAPSA number],Table1[Gender])</f>
        <v>SS</v>
      </c>
      <c r="H23" s="19" t="e">
        <f>_xlfn.XLOOKUP(__xlnm._FilterDatabase_157[[#This Row],[SAPSA Number]],#REF!,#REF!)</f>
        <v>#REF!</v>
      </c>
      <c r="I23" s="19" t="s">
        <v>243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80">
        <v>0</v>
      </c>
    </row>
    <row r="24" spans="1:23" ht="14.4" customHeight="1" x14ac:dyDescent="0.3">
      <c r="A24" s="17">
        <f t="shared" si="3"/>
        <v>4</v>
      </c>
      <c r="B24" s="88">
        <v>3173</v>
      </c>
      <c r="C24" s="18" t="str">
        <f>_xlfn.XLOOKUP(__xlnm._FilterDatabase_157[[#This Row],[SAPSA Number]],Table1[SAPSA number],Table1[Paid up])</f>
        <v>Y</v>
      </c>
      <c r="D24" s="39" t="str">
        <f>_xlfn.XLOOKUP(__xlnm._FilterDatabase_157[[#This Row],[SAPSA Number]],Table1[SAPSA number],Table1[Name])</f>
        <v>Garrett-John</v>
      </c>
      <c r="E24" s="39" t="str">
        <f>_xlfn.XLOOKUP(__xlnm._FilterDatabase_157[[#This Row],[SAPSA Number]],Table1[SAPSA number],Table1[Surname])</f>
        <v>Evans</v>
      </c>
      <c r="F24" s="20" t="str">
        <f>_xlfn.XLOOKUP(__xlnm._FilterDatabase_157[[#This Row],[SAPSA Number]],Table1[SAPSA number],Table1[Initials])</f>
        <v>G-J</v>
      </c>
      <c r="G24" s="17" t="str">
        <f ca="1">_xlfn.XLOOKUP(__xlnm._FilterDatabase_157[[#This Row],[SAPSA Number]],Table1[SAPSA number],Table1[Gender])</f>
        <v xml:space="preserve"> </v>
      </c>
      <c r="H24" s="19" t="e">
        <f>_xlfn.XLOOKUP(__xlnm._FilterDatabase_157[[#This Row],[SAPSA Number]],#REF!,#REF!)</f>
        <v>#REF!</v>
      </c>
      <c r="I24" s="19" t="s">
        <v>243</v>
      </c>
      <c r="J24" s="21">
        <f t="shared" si="1"/>
        <v>0</v>
      </c>
      <c r="K24" s="22">
        <f>(LARGE(L24:W24,1)+LARGE(L24:W24,2)+LARGE(L24:W24,3)+LARGE(L24:W24,4)+LARGE(L24:W24,5))/5</f>
        <v>0</v>
      </c>
      <c r="L24" s="23">
        <v>0</v>
      </c>
      <c r="M24" s="24">
        <v>0</v>
      </c>
      <c r="N24" s="79">
        <v>0</v>
      </c>
      <c r="O24" s="80">
        <v>0</v>
      </c>
      <c r="P24" s="79">
        <v>0</v>
      </c>
      <c r="Q24" s="80">
        <v>0</v>
      </c>
      <c r="R24" s="79">
        <v>0</v>
      </c>
      <c r="S24" s="80">
        <v>0</v>
      </c>
      <c r="T24" s="79">
        <v>0</v>
      </c>
      <c r="U24" s="80">
        <v>0</v>
      </c>
      <c r="V24" s="79">
        <v>0</v>
      </c>
      <c r="W24" s="80">
        <v>0</v>
      </c>
    </row>
    <row r="25" spans="1:23" ht="14.4" customHeight="1" x14ac:dyDescent="0.3">
      <c r="A25" s="17">
        <f t="shared" si="3"/>
        <v>4</v>
      </c>
      <c r="B25" s="88">
        <v>7434</v>
      </c>
      <c r="C25" s="18">
        <f>_xlfn.XLOOKUP(__xlnm._FilterDatabase_157[[#This Row],[SAPSA Number]],Table1[SAPSA number],Table1[Paid up])</f>
        <v>0</v>
      </c>
      <c r="D25" s="39" t="str">
        <f>_xlfn.XLOOKUP(__xlnm._FilterDatabase_157[[#This Row],[SAPSA Number]],Table1[SAPSA number],Table1[Name])</f>
        <v>Shannon Kimberley</v>
      </c>
      <c r="E25" s="39" t="str">
        <f>_xlfn.XLOOKUP(__xlnm._FilterDatabase_157[[#This Row],[SAPSA Number]],Table1[SAPSA number],Table1[Surname])</f>
        <v>Gahagan</v>
      </c>
      <c r="F25" s="20" t="str">
        <f>_xlfn.XLOOKUP(__xlnm._FilterDatabase_157[[#This Row],[SAPSA Number]],Table1[SAPSA number],Table1[Initials])</f>
        <v>S</v>
      </c>
      <c r="G25" s="17" t="str">
        <f>_xlfn.XLOOKUP(__xlnm._FilterDatabase_157[[#This Row],[SAPSA Number]],Table1[SAPSA number],Table1[Gender])</f>
        <v>Lady</v>
      </c>
      <c r="H25" s="19" t="e">
        <f>_xlfn.XLOOKUP(__xlnm._FilterDatabase_157[[#This Row],[SAPSA Number]],#REF!,#REF!)</f>
        <v>#REF!</v>
      </c>
      <c r="I25" s="19" t="s">
        <v>243</v>
      </c>
      <c r="J25" s="21">
        <f t="shared" si="1"/>
        <v>0</v>
      </c>
      <c r="K25" s="22">
        <f>(LARGE(L25:U25,1)+LARGE(L25:U25,2)+LARGE(L25:U25,3)+LARGE(L25:U25,4)+LARGE(L25:U25,5))/5</f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80">
        <v>0</v>
      </c>
    </row>
    <row r="26" spans="1:23" ht="14.4" customHeight="1" x14ac:dyDescent="0.3">
      <c r="A26" s="17">
        <f t="shared" si="3"/>
        <v>4</v>
      </c>
      <c r="B26" s="88">
        <v>3782</v>
      </c>
      <c r="C26" s="18">
        <f>_xlfn.XLOOKUP(__xlnm._FilterDatabase_157[[#This Row],[SAPSA Number]],Table1[SAPSA number],Table1[Paid up])</f>
        <v>0</v>
      </c>
      <c r="D26" s="39" t="str">
        <f>_xlfn.XLOOKUP(__xlnm._FilterDatabase_157[[#This Row],[SAPSA Number]],Table1[SAPSA number],Table1[Name])</f>
        <v>Gary Athol</v>
      </c>
      <c r="E26" s="39" t="str">
        <f>_xlfn.XLOOKUP(__xlnm._FilterDatabase_157[[#This Row],[SAPSA Number]],Table1[SAPSA number],Table1[Surname])</f>
        <v>Hagemann</v>
      </c>
      <c r="F26" s="20" t="str">
        <f>_xlfn.XLOOKUP(__xlnm._FilterDatabase_157[[#This Row],[SAPSA Number]],Table1[SAPSA number],Table1[Initials])</f>
        <v>GA</v>
      </c>
      <c r="G26" s="17" t="str">
        <f ca="1">_xlfn.XLOOKUP(__xlnm._FilterDatabase_157[[#This Row],[SAPSA Number]],Table1[SAPSA number],Table1[Gender])</f>
        <v>S</v>
      </c>
      <c r="H26" s="19" t="e">
        <f>_xlfn.XLOOKUP(__xlnm._FilterDatabase_157[[#This Row],[SAPSA Number]],#REF!,#REF!)</f>
        <v>#REF!</v>
      </c>
      <c r="I26" s="19" t="s">
        <v>243</v>
      </c>
      <c r="J26" s="21">
        <f t="shared" si="1"/>
        <v>0</v>
      </c>
      <c r="K26" s="22">
        <f>(LARGE(L26:U26,1)+LARGE(L26:U26,2)+LARGE(L26:U26,3)+LARGE(L26:U26,4)+LARGE(L26:U26,5))/5</f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80">
        <v>0</v>
      </c>
    </row>
    <row r="27" spans="1:23" ht="14.4" customHeight="1" x14ac:dyDescent="0.3">
      <c r="A27" s="17">
        <f t="shared" si="3"/>
        <v>4</v>
      </c>
      <c r="B27" s="88">
        <v>6308</v>
      </c>
      <c r="C27" s="18">
        <f>_xlfn.XLOOKUP(__xlnm._FilterDatabase_157[[#This Row],[SAPSA Number]],Table1[SAPSA number],Table1[Paid up])</f>
        <v>0</v>
      </c>
      <c r="D27" s="39" t="str">
        <f>_xlfn.XLOOKUP(__xlnm._FilterDatabase_157[[#This Row],[SAPSA Number]],Table1[SAPSA number],Table1[Name])</f>
        <v>James Matthew</v>
      </c>
      <c r="E27" s="39" t="str">
        <f>_xlfn.XLOOKUP(__xlnm._FilterDatabase_157[[#This Row],[SAPSA Number]],Table1[SAPSA number],Table1[Surname])</f>
        <v>Hagemann</v>
      </c>
      <c r="F27" s="20" t="str">
        <f>_xlfn.XLOOKUP(__xlnm._FilterDatabase_157[[#This Row],[SAPSA Number]],Table1[SAPSA number],Table1[Initials])</f>
        <v>JM</v>
      </c>
      <c r="G27" s="17" t="str">
        <f ca="1">_xlfn.XLOOKUP(__xlnm._FilterDatabase_157[[#This Row],[SAPSA Number]],Table1[SAPSA number],Table1[Gender])</f>
        <v>Jnr</v>
      </c>
      <c r="H27" s="19" t="e">
        <f>_xlfn.XLOOKUP(__xlnm._FilterDatabase_157[[#This Row],[SAPSA Number]],#REF!,#REF!)</f>
        <v>#REF!</v>
      </c>
      <c r="I27" s="19" t="s">
        <v>243</v>
      </c>
      <c r="J27" s="21">
        <f t="shared" si="1"/>
        <v>0</v>
      </c>
      <c r="K27" s="22">
        <f>(LARGE(L27:U27,1)+LARGE(L27:U27,2)+LARGE(L27:U27,3)+LARGE(L27:U27,4)+LARGE(L27:U27,5))/5</f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80">
        <v>0</v>
      </c>
    </row>
    <row r="28" spans="1:23" ht="14.4" customHeight="1" x14ac:dyDescent="0.3">
      <c r="A28" s="17">
        <f t="shared" si="3"/>
        <v>4</v>
      </c>
      <c r="B28" s="88">
        <v>7328</v>
      </c>
      <c r="C28" s="18" t="str">
        <f>_xlfn.XLOOKUP(__xlnm._FilterDatabase_157[[#This Row],[SAPSA Number]],Table1[SAPSA number],Table1[Paid up])</f>
        <v>Y</v>
      </c>
      <c r="D28" s="39" t="str">
        <f>_xlfn.XLOOKUP(__xlnm._FilterDatabase_157[[#This Row],[SAPSA Number]],Table1[SAPSA number],Table1[Name])</f>
        <v>Sizwe</v>
      </c>
      <c r="E28" s="39" t="str">
        <f>_xlfn.XLOOKUP(__xlnm._FilterDatabase_157[[#This Row],[SAPSA Number]],Table1[SAPSA number],Table1[Surname])</f>
        <v>Hlongwane</v>
      </c>
      <c r="F28" s="20" t="str">
        <f>_xlfn.XLOOKUP(__xlnm._FilterDatabase_157[[#This Row],[SAPSA Number]],Table1[SAPSA number],Table1[Initials])</f>
        <v>S</v>
      </c>
      <c r="G28" s="17" t="str">
        <f ca="1">_xlfn.XLOOKUP(__xlnm._FilterDatabase_157[[#This Row],[SAPSA Number]],Table1[SAPSA number],Table1[Gender])</f>
        <v xml:space="preserve"> </v>
      </c>
      <c r="H28" s="19" t="e">
        <f>_xlfn.XLOOKUP(__xlnm._FilterDatabase_157[[#This Row],[SAPSA Number]],#REF!,#REF!)</f>
        <v>#REF!</v>
      </c>
      <c r="I28" s="19" t="s">
        <v>243</v>
      </c>
      <c r="J28" s="21">
        <f t="shared" si="1"/>
        <v>0</v>
      </c>
      <c r="K28" s="22">
        <f>(LARGE(L28:W28,1)+LARGE(L28:W28,2)+LARGE(L28:W28,3)+LARGE(L28:W28,4)+LARGE(L28:W28,5))/5</f>
        <v>0</v>
      </c>
      <c r="L28" s="23">
        <v>0</v>
      </c>
      <c r="M28" s="24">
        <v>0</v>
      </c>
      <c r="N28" s="79">
        <v>0</v>
      </c>
      <c r="O28" s="80">
        <v>0</v>
      </c>
      <c r="P28" s="79">
        <v>0</v>
      </c>
      <c r="Q28" s="80">
        <v>0</v>
      </c>
      <c r="R28" s="79">
        <v>0</v>
      </c>
      <c r="S28" s="80">
        <v>0</v>
      </c>
      <c r="T28" s="79">
        <v>0</v>
      </c>
      <c r="U28" s="80">
        <v>0</v>
      </c>
      <c r="V28" s="79">
        <v>0</v>
      </c>
      <c r="W28" s="80">
        <v>0</v>
      </c>
    </row>
    <row r="29" spans="1:23" ht="14.4" customHeight="1" x14ac:dyDescent="0.3">
      <c r="A29" s="17">
        <f t="shared" si="3"/>
        <v>4</v>
      </c>
      <c r="B29" s="88">
        <v>7271</v>
      </c>
      <c r="C29" s="18" t="str">
        <f>_xlfn.XLOOKUP(__xlnm._FilterDatabase_157[[#This Row],[SAPSA Number]],Table1[SAPSA number],Table1[Paid up])</f>
        <v>Y</v>
      </c>
      <c r="D29" s="39" t="str">
        <f>_xlfn.XLOOKUP(__xlnm._FilterDatabase_157[[#This Row],[SAPSA Number]],Table1[SAPSA number],Table1[Name])</f>
        <v>Johan</v>
      </c>
      <c r="E29" s="39" t="str">
        <f>_xlfn.XLOOKUP(__xlnm._FilterDatabase_157[[#This Row],[SAPSA Number]],Table1[SAPSA number],Table1[Surname])</f>
        <v>Jacobs</v>
      </c>
      <c r="F29" s="20" t="str">
        <f>_xlfn.XLOOKUP(__xlnm._FilterDatabase_157[[#This Row],[SAPSA Number]],Table1[SAPSA number],Table1[Initials])</f>
        <v>J</v>
      </c>
      <c r="G29" s="17" t="str">
        <f ca="1">_xlfn.XLOOKUP(__xlnm._FilterDatabase_157[[#This Row],[SAPSA Number]],Table1[SAPSA number],Table1[Gender])</f>
        <v xml:space="preserve"> </v>
      </c>
      <c r="H29" s="19" t="e">
        <f>_xlfn.XLOOKUP(__xlnm._FilterDatabase_157[[#This Row],[SAPSA Number]],#REF!,#REF!)</f>
        <v>#REF!</v>
      </c>
      <c r="I29" s="19" t="s">
        <v>243</v>
      </c>
      <c r="J29" s="21">
        <f t="shared" si="1"/>
        <v>0</v>
      </c>
      <c r="K29" s="22">
        <f t="shared" ref="K29:K54" si="4">(LARGE(L29:U29,1)+LARGE(L29:U29,2)+LARGE(L29:U29,3)+LARGE(L29:U29,4)+LARGE(L29:U29,5))/5</f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80">
        <v>0</v>
      </c>
    </row>
    <row r="30" spans="1:23" ht="14.4" customHeight="1" x14ac:dyDescent="0.3">
      <c r="A30" s="17">
        <f t="shared" si="3"/>
        <v>4</v>
      </c>
      <c r="B30" s="88">
        <v>2655</v>
      </c>
      <c r="C30" s="18" t="str">
        <f>_xlfn.XLOOKUP(__xlnm._FilterDatabase_157[[#This Row],[SAPSA Number]],Table1[SAPSA number],Table1[Paid up])</f>
        <v>Y</v>
      </c>
      <c r="D30" s="39" t="str">
        <f>_xlfn.XLOOKUP(__xlnm._FilterDatabase_157[[#This Row],[SAPSA Number]],Table1[SAPSA number],Table1[Name])</f>
        <v>Ruben</v>
      </c>
      <c r="E30" s="39" t="str">
        <f>_xlfn.XLOOKUP(__xlnm._FilterDatabase_157[[#This Row],[SAPSA Number]],Table1[SAPSA number],Table1[Surname])</f>
        <v>Joubert</v>
      </c>
      <c r="F30" s="20" t="str">
        <f>_xlfn.XLOOKUP(__xlnm._FilterDatabase_157[[#This Row],[SAPSA Number]],Table1[SAPSA number],Table1[Initials])</f>
        <v>R</v>
      </c>
      <c r="G30" s="17" t="str">
        <f ca="1">_xlfn.XLOOKUP(__xlnm._FilterDatabase_157[[#This Row],[SAPSA Number]],Table1[SAPSA number],Table1[Gender])</f>
        <v>Jnr</v>
      </c>
      <c r="H30" s="19" t="e">
        <f>_xlfn.XLOOKUP(__xlnm._FilterDatabase_157[[#This Row],[SAPSA Number]],#REF!,#REF!)</f>
        <v>#REF!</v>
      </c>
      <c r="I30" s="19" t="s">
        <v>243</v>
      </c>
      <c r="J30" s="21">
        <f t="shared" si="1"/>
        <v>0</v>
      </c>
      <c r="K30" s="22">
        <f t="shared" si="4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80">
        <v>0</v>
      </c>
    </row>
    <row r="31" spans="1:23" ht="14.4" customHeight="1" x14ac:dyDescent="0.3">
      <c r="A31" s="17">
        <f t="shared" si="3"/>
        <v>4</v>
      </c>
      <c r="B31" s="18">
        <v>3339</v>
      </c>
      <c r="C31" s="18" t="str">
        <f>_xlfn.XLOOKUP(__xlnm._FilterDatabase_157[[#This Row],[SAPSA Number]],Table1[SAPSA number],Table1[Paid up])</f>
        <v>Y</v>
      </c>
      <c r="D31" s="39" t="str">
        <f>_xlfn.XLOOKUP(__xlnm._FilterDatabase_157[[#This Row],[SAPSA Number]],Table1[SAPSA number],Table1[Name])</f>
        <v>Hendrik Johannes</v>
      </c>
      <c r="E31" s="39" t="str">
        <f>_xlfn.XLOOKUP(__xlnm._FilterDatabase_157[[#This Row],[SAPSA Number]],Table1[SAPSA number],Table1[Surname])</f>
        <v>Joubert</v>
      </c>
      <c r="F31" s="20" t="str">
        <f>_xlfn.XLOOKUP(__xlnm._FilterDatabase_157[[#This Row],[SAPSA Number]],Table1[SAPSA number],Table1[Initials])</f>
        <v>HJ</v>
      </c>
      <c r="G31" s="17" t="str">
        <f ca="1">_xlfn.XLOOKUP(__xlnm._FilterDatabase_157[[#This Row],[SAPSA Number]],Table1[SAPSA number],Table1[Gender])</f>
        <v>S</v>
      </c>
      <c r="H31" s="19" t="e">
        <f>_xlfn.XLOOKUP(__xlnm._FilterDatabase_157[[#This Row],[SAPSA Number]],#REF!,#REF!)</f>
        <v>#REF!</v>
      </c>
      <c r="I31" s="19" t="s">
        <v>243</v>
      </c>
      <c r="J31" s="21">
        <f t="shared" si="1"/>
        <v>0</v>
      </c>
      <c r="K31" s="22">
        <f t="shared" si="4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80">
        <v>0</v>
      </c>
    </row>
    <row r="32" spans="1:23" ht="14.4" customHeight="1" x14ac:dyDescent="0.3">
      <c r="A32" s="17">
        <f t="shared" si="3"/>
        <v>4</v>
      </c>
      <c r="B32" s="88">
        <v>4094</v>
      </c>
      <c r="C32" s="18" t="str">
        <f>_xlfn.XLOOKUP(__xlnm._FilterDatabase_157[[#This Row],[SAPSA Number]],Table1[SAPSA number],Table1[Paid up])</f>
        <v>Y</v>
      </c>
      <c r="D32" s="39" t="str">
        <f>_xlfn.XLOOKUP(__xlnm._FilterDatabase_157[[#This Row],[SAPSA Number]],Table1[SAPSA number],Table1[Name])</f>
        <v>Johan</v>
      </c>
      <c r="E32" s="39" t="str">
        <f>_xlfn.XLOOKUP(__xlnm._FilterDatabase_157[[#This Row],[SAPSA Number]],Table1[SAPSA number],Table1[Surname])</f>
        <v>Kemp</v>
      </c>
      <c r="F32" s="20" t="str">
        <f>_xlfn.XLOOKUP(__xlnm._FilterDatabase_157[[#This Row],[SAPSA Number]],Table1[SAPSA number],Table1[Initials])</f>
        <v>J</v>
      </c>
      <c r="G32" s="17" t="str">
        <f ca="1">_xlfn.XLOOKUP(__xlnm._FilterDatabase_157[[#This Row],[SAPSA Number]],Table1[SAPSA number],Table1[Gender])</f>
        <v xml:space="preserve"> </v>
      </c>
      <c r="H32" s="19" t="e">
        <f>_xlfn.XLOOKUP(__xlnm._FilterDatabase_157[[#This Row],[SAPSA Number]],#REF!,#REF!)</f>
        <v>#REF!</v>
      </c>
      <c r="I32" s="19" t="s">
        <v>243</v>
      </c>
      <c r="J32" s="21">
        <f t="shared" si="1"/>
        <v>0</v>
      </c>
      <c r="K32" s="22">
        <f t="shared" si="4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80">
        <v>0</v>
      </c>
    </row>
    <row r="33" spans="1:23" ht="14.4" customHeight="1" x14ac:dyDescent="0.3">
      <c r="A33" s="17">
        <f t="shared" si="3"/>
        <v>4</v>
      </c>
      <c r="B33" s="90">
        <v>6968</v>
      </c>
      <c r="C33" s="18" t="str">
        <f>_xlfn.XLOOKUP(__xlnm._FilterDatabase_157[[#This Row],[SAPSA Number]],Table1[SAPSA number],Table1[Paid up])</f>
        <v>Y</v>
      </c>
      <c r="D33" s="39" t="str">
        <f>_xlfn.XLOOKUP(__xlnm._FilterDatabase_157[[#This Row],[SAPSA Number]],Table1[SAPSA number],Table1[Name])</f>
        <v>Ian John</v>
      </c>
      <c r="E33" s="39" t="str">
        <f>_xlfn.XLOOKUP(__xlnm._FilterDatabase_157[[#This Row],[SAPSA Number]],Table1[SAPSA number],Table1[Surname])</f>
        <v>Kewley</v>
      </c>
      <c r="F33" s="20" t="str">
        <f>_xlfn.XLOOKUP(__xlnm._FilterDatabase_157[[#This Row],[SAPSA Number]],Table1[SAPSA number],Table1[Initials])</f>
        <v>IJ</v>
      </c>
      <c r="G33" s="17" t="str">
        <f ca="1">_xlfn.XLOOKUP(__xlnm._FilterDatabase_157[[#This Row],[SAPSA Number]],Table1[SAPSA number],Table1[Gender])</f>
        <v xml:space="preserve"> </v>
      </c>
      <c r="H33" s="19" t="e">
        <f>_xlfn.XLOOKUP(__xlnm._FilterDatabase_157[[#This Row],[SAPSA Number]],#REF!,#REF!)</f>
        <v>#REF!</v>
      </c>
      <c r="I33" s="19" t="s">
        <v>243</v>
      </c>
      <c r="J33" s="21">
        <f t="shared" si="1"/>
        <v>0</v>
      </c>
      <c r="K33" s="22">
        <f t="shared" si="4"/>
        <v>0</v>
      </c>
      <c r="L33" s="23">
        <v>0</v>
      </c>
      <c r="M33" s="24">
        <v>0</v>
      </c>
      <c r="N33" s="79">
        <v>0</v>
      </c>
      <c r="O33" s="80">
        <v>0</v>
      </c>
      <c r="P33" s="79">
        <v>0</v>
      </c>
      <c r="Q33" s="80">
        <v>0</v>
      </c>
      <c r="R33" s="79">
        <v>0</v>
      </c>
      <c r="S33" s="80">
        <v>0</v>
      </c>
      <c r="T33" s="79">
        <v>0</v>
      </c>
      <c r="U33" s="80">
        <v>0</v>
      </c>
      <c r="V33" s="79">
        <v>0</v>
      </c>
      <c r="W33" s="80">
        <v>0</v>
      </c>
    </row>
    <row r="34" spans="1:23" ht="14.4" customHeight="1" x14ac:dyDescent="0.3">
      <c r="A34" s="17">
        <f t="shared" si="3"/>
        <v>4</v>
      </c>
      <c r="B34" s="18">
        <v>7260</v>
      </c>
      <c r="C34" s="18">
        <f>_xlfn.XLOOKUP(__xlnm._FilterDatabase_157[[#This Row],[SAPSA Number]],Table1[SAPSA number],Table1[Paid up])</f>
        <v>0</v>
      </c>
      <c r="D34" s="39" t="str">
        <f>_xlfn.XLOOKUP(__xlnm._FilterDatabase_157[[#This Row],[SAPSA Number]],Table1[SAPSA number],Table1[Name])</f>
        <v>Glenn</v>
      </c>
      <c r="E34" s="39" t="str">
        <f>_xlfn.XLOOKUP(__xlnm._FilterDatabase_157[[#This Row],[SAPSA Number]],Table1[SAPSA number],Table1[Surname])</f>
        <v>Kieser</v>
      </c>
      <c r="F34" s="20" t="str">
        <f>_xlfn.XLOOKUP(__xlnm._FilterDatabase_157[[#This Row],[SAPSA Number]],Table1[SAPSA number],Table1[Initials])</f>
        <v>G</v>
      </c>
      <c r="G34" s="17" t="str">
        <f ca="1">_xlfn.XLOOKUP(__xlnm._FilterDatabase_157[[#This Row],[SAPSA Number]],Table1[SAPSA number],Table1[Gender])</f>
        <v>SS</v>
      </c>
      <c r="H34" s="19" t="e">
        <f>_xlfn.XLOOKUP(__xlnm._FilterDatabase_157[[#This Row],[SAPSA Number]],#REF!,#REF!)</f>
        <v>#REF!</v>
      </c>
      <c r="I34" s="19" t="s">
        <v>243</v>
      </c>
      <c r="J34" s="21">
        <f t="shared" ref="J34:J70" si="5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si="4"/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80">
        <v>0</v>
      </c>
    </row>
    <row r="35" spans="1:23" ht="14.4" customHeight="1" x14ac:dyDescent="0.3">
      <c r="A35" s="17">
        <f t="shared" si="3"/>
        <v>4</v>
      </c>
      <c r="B35" s="88">
        <v>252</v>
      </c>
      <c r="C35" s="18" t="str">
        <f>_xlfn.XLOOKUP(__xlnm._FilterDatabase_157[[#This Row],[SAPSA Number]],Table1[SAPSA number],Table1[Paid up])</f>
        <v>Y</v>
      </c>
      <c r="D35" s="39" t="str">
        <f>_xlfn.XLOOKUP(__xlnm._FilterDatabase_157[[#This Row],[SAPSA Number]],Table1[SAPSA number],Table1[Name])</f>
        <v>Deon</v>
      </c>
      <c r="E35" s="39" t="str">
        <f>_xlfn.XLOOKUP(__xlnm._FilterDatabase_157[[#This Row],[SAPSA Number]],Table1[SAPSA number],Table1[Surname])</f>
        <v>Labuschagne</v>
      </c>
      <c r="F35" s="20" t="str">
        <f>_xlfn.XLOOKUP(__xlnm._FilterDatabase_157[[#This Row],[SAPSA Number]],Table1[SAPSA number],Table1[Initials])</f>
        <v>D</v>
      </c>
      <c r="G35" s="17" t="str">
        <f ca="1">_xlfn.XLOOKUP(__xlnm._FilterDatabase_157[[#This Row],[SAPSA Number]],Table1[SAPSA number],Table1[Gender])</f>
        <v>GS</v>
      </c>
      <c r="H35" s="19" t="e">
        <f>_xlfn.XLOOKUP(__xlnm._FilterDatabase_157[[#This Row],[SAPSA Number]],#REF!,#REF!)</f>
        <v>#REF!</v>
      </c>
      <c r="I35" s="19" t="s">
        <v>243</v>
      </c>
      <c r="J35" s="21">
        <f t="shared" si="5"/>
        <v>0</v>
      </c>
      <c r="K35" s="22">
        <f t="shared" si="4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80">
        <v>0</v>
      </c>
    </row>
    <row r="36" spans="1:23" ht="14.4" customHeight="1" x14ac:dyDescent="0.3">
      <c r="A36" s="17">
        <f t="shared" si="3"/>
        <v>4</v>
      </c>
      <c r="B36" s="88">
        <v>683</v>
      </c>
      <c r="C36" s="18">
        <f>_xlfn.XLOOKUP(__xlnm._FilterDatabase_157[[#This Row],[SAPSA Number]],Table1[SAPSA number],Table1[Paid up])</f>
        <v>0</v>
      </c>
      <c r="D36" s="39" t="str">
        <f>_xlfn.XLOOKUP(__xlnm._FilterDatabase_157[[#This Row],[SAPSA Number]],Table1[SAPSA number],Table1[Name])</f>
        <v>Ivor</v>
      </c>
      <c r="E36" s="39" t="str">
        <f>_xlfn.XLOOKUP(__xlnm._FilterDatabase_157[[#This Row],[SAPSA Number]],Table1[SAPSA number],Table1[Surname])</f>
        <v>Marais</v>
      </c>
      <c r="F36" s="20" t="str">
        <f>_xlfn.XLOOKUP(__xlnm._FilterDatabase_157[[#This Row],[SAPSA Number]],Table1[SAPSA number],Table1[Initials])</f>
        <v>I</v>
      </c>
      <c r="G36" s="17" t="str">
        <f ca="1">_xlfn.XLOOKUP(__xlnm._FilterDatabase_157[[#This Row],[SAPSA Number]],Table1[SAPSA number],Table1[Gender])</f>
        <v>S</v>
      </c>
      <c r="H36" s="19" t="e">
        <f>_xlfn.XLOOKUP(__xlnm._FilterDatabase_157[[#This Row],[SAPSA Number]],#REF!,#REF!)</f>
        <v>#REF!</v>
      </c>
      <c r="I36" s="19" t="s">
        <v>243</v>
      </c>
      <c r="J36" s="21">
        <f t="shared" si="5"/>
        <v>0</v>
      </c>
      <c r="K36" s="22">
        <f t="shared" si="4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80">
        <v>0</v>
      </c>
    </row>
    <row r="37" spans="1:23" ht="14.4" customHeight="1" x14ac:dyDescent="0.3">
      <c r="A37" s="17">
        <f t="shared" si="3"/>
        <v>4</v>
      </c>
      <c r="B37" s="18">
        <v>4862</v>
      </c>
      <c r="C37" s="18" t="str">
        <f>_xlfn.XLOOKUP(__xlnm._FilterDatabase_157[[#This Row],[SAPSA Number]],Table1[SAPSA number],Table1[Paid up])</f>
        <v>Y</v>
      </c>
      <c r="D37" s="39" t="str">
        <f>_xlfn.XLOOKUP(__xlnm._FilterDatabase_157[[#This Row],[SAPSA Number]],Table1[SAPSA number],Table1[Name])</f>
        <v>George Keith</v>
      </c>
      <c r="E37" s="39" t="str">
        <f>_xlfn.XLOOKUP(__xlnm._FilterDatabase_157[[#This Row],[SAPSA Number]],Table1[SAPSA number],Table1[Surname])</f>
        <v>Marais</v>
      </c>
      <c r="F37" s="20" t="str">
        <f>_xlfn.XLOOKUP(__xlnm._FilterDatabase_157[[#This Row],[SAPSA Number]],Table1[SAPSA number],Table1[Initials])</f>
        <v>GK</v>
      </c>
      <c r="G37" s="17" t="str">
        <f ca="1">_xlfn.XLOOKUP(__xlnm._FilterDatabase_157[[#This Row],[SAPSA Number]],Table1[SAPSA number],Table1[Gender])</f>
        <v>S</v>
      </c>
      <c r="H37" s="19" t="e">
        <f>_xlfn.XLOOKUP(__xlnm._FilterDatabase_157[[#This Row],[SAPSA Number]],#REF!,#REF!)</f>
        <v>#REF!</v>
      </c>
      <c r="I37" s="19" t="s">
        <v>243</v>
      </c>
      <c r="J37" s="21">
        <f t="shared" si="5"/>
        <v>0</v>
      </c>
      <c r="K37" s="22">
        <f t="shared" si="4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80">
        <v>0</v>
      </c>
    </row>
    <row r="38" spans="1:23" ht="14.4" customHeight="1" x14ac:dyDescent="0.3">
      <c r="A38" s="17">
        <f t="shared" si="3"/>
        <v>4</v>
      </c>
      <c r="B38" s="27">
        <v>6966</v>
      </c>
      <c r="C38" s="18" t="str">
        <f>_xlfn.XLOOKUP(__xlnm._FilterDatabase_157[[#This Row],[SAPSA Number]],Table1[SAPSA number],Table1[Paid up])</f>
        <v>Y</v>
      </c>
      <c r="D38" s="39" t="str">
        <f>_xlfn.XLOOKUP(__xlnm._FilterDatabase_157[[#This Row],[SAPSA Number]],Table1[SAPSA number],Table1[Name])</f>
        <v>James</v>
      </c>
      <c r="E38" s="39" t="str">
        <f>_xlfn.XLOOKUP(__xlnm._FilterDatabase_157[[#This Row],[SAPSA Number]],Table1[SAPSA number],Table1[Surname])</f>
        <v>Masonganye</v>
      </c>
      <c r="F38" s="20" t="str">
        <f>_xlfn.XLOOKUP(__xlnm._FilterDatabase_157[[#This Row],[SAPSA Number]],Table1[SAPSA number],Table1[Initials])</f>
        <v>J</v>
      </c>
      <c r="G38" s="17" t="str">
        <f ca="1">_xlfn.XLOOKUP(__xlnm._FilterDatabase_157[[#This Row],[SAPSA Number]],Table1[SAPSA number],Table1[Gender])</f>
        <v>S</v>
      </c>
      <c r="H38" s="19" t="e">
        <f>_xlfn.XLOOKUP(__xlnm._FilterDatabase_157[[#This Row],[SAPSA Number]],#REF!,#REF!)</f>
        <v>#REF!</v>
      </c>
      <c r="I38" s="19" t="s">
        <v>243</v>
      </c>
      <c r="J38" s="21">
        <f t="shared" si="5"/>
        <v>0</v>
      </c>
      <c r="K38" s="22">
        <f t="shared" si="4"/>
        <v>0</v>
      </c>
      <c r="L38" s="23">
        <v>0</v>
      </c>
      <c r="M38" s="24">
        <v>0</v>
      </c>
      <c r="N38" s="79">
        <v>0</v>
      </c>
      <c r="O38" s="80">
        <v>0</v>
      </c>
      <c r="P38" s="79">
        <v>0</v>
      </c>
      <c r="Q38" s="80">
        <v>0</v>
      </c>
      <c r="R38" s="79">
        <v>0</v>
      </c>
      <c r="S38" s="80">
        <v>0</v>
      </c>
      <c r="T38" s="79">
        <v>0</v>
      </c>
      <c r="U38" s="80">
        <v>0</v>
      </c>
      <c r="V38" s="79">
        <v>0</v>
      </c>
      <c r="W38" s="80">
        <v>0</v>
      </c>
    </row>
    <row r="39" spans="1:23" ht="14.4" customHeight="1" x14ac:dyDescent="0.3">
      <c r="A39" s="17">
        <f t="shared" si="3"/>
        <v>4</v>
      </c>
      <c r="B39" s="90">
        <v>7132</v>
      </c>
      <c r="C39" s="18" t="str">
        <f>_xlfn.XLOOKUP(__xlnm._FilterDatabase_157[[#This Row],[SAPSA Number]],Table1[SAPSA number],Table1[Paid up])</f>
        <v>Y</v>
      </c>
      <c r="D39" s="39" t="str">
        <f>_xlfn.XLOOKUP(__xlnm._FilterDatabase_157[[#This Row],[SAPSA Number]],Table1[SAPSA number],Table1[Name])</f>
        <v>Yussuf</v>
      </c>
      <c r="E39" s="39" t="str">
        <f>_xlfn.XLOOKUP(__xlnm._FilterDatabase_157[[#This Row],[SAPSA Number]],Table1[SAPSA number],Table1[Surname])</f>
        <v>Mayet</v>
      </c>
      <c r="F39" s="20" t="str">
        <f>_xlfn.XLOOKUP(__xlnm._FilterDatabase_157[[#This Row],[SAPSA Number]],Table1[SAPSA number],Table1[Initials])</f>
        <v>Y</v>
      </c>
      <c r="G39" s="17" t="str">
        <f ca="1">_xlfn.XLOOKUP(__xlnm._FilterDatabase_157[[#This Row],[SAPSA Number]],Table1[SAPSA number],Table1[Gender])</f>
        <v>GS</v>
      </c>
      <c r="H39" s="19" t="e">
        <f>_xlfn.XLOOKUP(__xlnm._FilterDatabase_157[[#This Row],[SAPSA Number]],#REF!,#REF!)</f>
        <v>#REF!</v>
      </c>
      <c r="I39" s="19" t="s">
        <v>243</v>
      </c>
      <c r="J39" s="21">
        <f t="shared" si="5"/>
        <v>0</v>
      </c>
      <c r="K39" s="22">
        <f t="shared" si="4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80">
        <v>0</v>
      </c>
    </row>
    <row r="40" spans="1:23" ht="14.4" customHeight="1" x14ac:dyDescent="0.3">
      <c r="A40" s="17">
        <f t="shared" si="3"/>
        <v>4</v>
      </c>
      <c r="B40" s="88">
        <v>851</v>
      </c>
      <c r="C40" s="18" t="str">
        <f>_xlfn.XLOOKUP(__xlnm._FilterDatabase_157[[#This Row],[SAPSA Number]],Table1[SAPSA number],Table1[Paid up])</f>
        <v>Y</v>
      </c>
      <c r="D40" s="39" t="str">
        <f>_xlfn.XLOOKUP(__xlnm._FilterDatabase_157[[#This Row],[SAPSA Number]],Table1[SAPSA number],Table1[Name])</f>
        <v>Ian David</v>
      </c>
      <c r="E40" s="39" t="str">
        <f>_xlfn.XLOOKUP(__xlnm._FilterDatabase_157[[#This Row],[SAPSA Number]],Table1[SAPSA number],Table1[Surname])</f>
        <v>McLaren</v>
      </c>
      <c r="F40" s="20" t="str">
        <f>_xlfn.XLOOKUP(__xlnm._FilterDatabase_157[[#This Row],[SAPSA Number]],Table1[SAPSA number],Table1[Initials])</f>
        <v>ID</v>
      </c>
      <c r="G40" s="17" t="str">
        <f ca="1">_xlfn.XLOOKUP(__xlnm._FilterDatabase_157[[#This Row],[SAPSA Number]],Table1[SAPSA number],Table1[Gender])</f>
        <v>SS</v>
      </c>
      <c r="H40" s="19" t="e">
        <f>_xlfn.XLOOKUP(__xlnm._FilterDatabase_157[[#This Row],[SAPSA Number]],#REF!,#REF!)</f>
        <v>#REF!</v>
      </c>
      <c r="I40" s="19" t="s">
        <v>243</v>
      </c>
      <c r="J40" s="21">
        <f t="shared" si="5"/>
        <v>0</v>
      </c>
      <c r="K40" s="22">
        <f t="shared" si="4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80">
        <v>0</v>
      </c>
    </row>
    <row r="41" spans="1:23" ht="14.4" customHeight="1" x14ac:dyDescent="0.3">
      <c r="A41" s="17">
        <f t="shared" si="3"/>
        <v>4</v>
      </c>
      <c r="B41" s="88">
        <v>5200</v>
      </c>
      <c r="C41" s="18">
        <f>_xlfn.XLOOKUP(__xlnm._FilterDatabase_157[[#This Row],[SAPSA Number]],Table1[SAPSA number],Table1[Paid up])</f>
        <v>0</v>
      </c>
      <c r="D41" s="39" t="str">
        <f>_xlfn.XLOOKUP(__xlnm._FilterDatabase_157[[#This Row],[SAPSA Number]],Table1[SAPSA number],Table1[Name])</f>
        <v>Daniel</v>
      </c>
      <c r="E41" s="39" t="str">
        <f>_xlfn.XLOOKUP(__xlnm._FilterDatabase_157[[#This Row],[SAPSA Number]],Table1[SAPSA number],Table1[Surname])</f>
        <v>McWilliam</v>
      </c>
      <c r="F41" s="20" t="str">
        <f>_xlfn.XLOOKUP(__xlnm._FilterDatabase_157[[#This Row],[SAPSA Number]],Table1[SAPSA number],Table1[Initials])</f>
        <v>D</v>
      </c>
      <c r="G41" s="17" t="str">
        <f ca="1">_xlfn.XLOOKUP(__xlnm._FilterDatabase_157[[#This Row],[SAPSA Number]],Table1[SAPSA number],Table1[Gender])</f>
        <v xml:space="preserve"> </v>
      </c>
      <c r="H41" s="19" t="e">
        <f>_xlfn.XLOOKUP(__xlnm._FilterDatabase_157[[#This Row],[SAPSA Number]],#REF!,#REF!)</f>
        <v>#REF!</v>
      </c>
      <c r="I41" s="19" t="s">
        <v>243</v>
      </c>
      <c r="J41" s="21">
        <f t="shared" si="5"/>
        <v>0</v>
      </c>
      <c r="K41" s="22">
        <f t="shared" si="4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80">
        <v>0</v>
      </c>
    </row>
    <row r="42" spans="1:23" ht="14.4" customHeight="1" x14ac:dyDescent="0.3">
      <c r="A42" s="17">
        <f t="shared" ref="A42:A70" si="6">RANK(K42,K$2:K$135,0)</f>
        <v>4</v>
      </c>
      <c r="B42" s="90">
        <v>1771</v>
      </c>
      <c r="C42" s="18" t="str">
        <f>_xlfn.XLOOKUP(__xlnm._FilterDatabase_157[[#This Row],[SAPSA Number]],Table1[SAPSA number],Table1[Paid up])</f>
        <v>Y</v>
      </c>
      <c r="D42" s="39" t="str">
        <f>_xlfn.XLOOKUP(__xlnm._FilterDatabase_157[[#This Row],[SAPSA Number]],Table1[SAPSA number],Table1[Name])</f>
        <v>Rodney Ralph</v>
      </c>
      <c r="E42" s="39" t="str">
        <f>_xlfn.XLOOKUP(__xlnm._FilterDatabase_157[[#This Row],[SAPSA Number]],Table1[SAPSA number],Table1[Surname])</f>
        <v>Mills</v>
      </c>
      <c r="F42" s="20" t="str">
        <f>_xlfn.XLOOKUP(__xlnm._FilterDatabase_157[[#This Row],[SAPSA Number]],Table1[SAPSA number],Table1[Initials])</f>
        <v>RR</v>
      </c>
      <c r="G42" s="17" t="str">
        <f ca="1">_xlfn.XLOOKUP(__xlnm._FilterDatabase_157[[#This Row],[SAPSA Number]],Table1[SAPSA number],Table1[Gender])</f>
        <v>GS</v>
      </c>
      <c r="H42" s="19" t="e">
        <f>_xlfn.XLOOKUP(__xlnm._FilterDatabase_157[[#This Row],[SAPSA Number]],#REF!,#REF!)</f>
        <v>#REF!</v>
      </c>
      <c r="I42" s="19" t="s">
        <v>243</v>
      </c>
      <c r="J42" s="21">
        <f t="shared" si="5"/>
        <v>0</v>
      </c>
      <c r="K42" s="22">
        <f t="shared" si="4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80">
        <v>0</v>
      </c>
    </row>
    <row r="43" spans="1:23" ht="14.4" customHeight="1" x14ac:dyDescent="0.3">
      <c r="A43" s="17">
        <f t="shared" si="6"/>
        <v>4</v>
      </c>
      <c r="B43" s="88">
        <v>1637</v>
      </c>
      <c r="C43" s="18">
        <f>_xlfn.XLOOKUP(__xlnm._FilterDatabase_157[[#This Row],[SAPSA Number]],Table1[SAPSA number],Table1[Paid up])</f>
        <v>0</v>
      </c>
      <c r="D43" s="39" t="str">
        <f>_xlfn.XLOOKUP(__xlnm._FilterDatabase_157[[#This Row],[SAPSA Number]],Table1[SAPSA number],Table1[Name])</f>
        <v>Andre Johann Pieter</v>
      </c>
      <c r="E43" s="39" t="str">
        <f>_xlfn.XLOOKUP(__xlnm._FilterDatabase_157[[#This Row],[SAPSA Number]],Table1[SAPSA number],Table1[Surname])</f>
        <v>Mouton</v>
      </c>
      <c r="F43" s="20" t="str">
        <f>_xlfn.XLOOKUP(__xlnm._FilterDatabase_157[[#This Row],[SAPSA Number]],Table1[SAPSA number],Table1[Initials])</f>
        <v>AJP</v>
      </c>
      <c r="G43" s="17" t="str">
        <f ca="1">_xlfn.XLOOKUP(__xlnm._FilterDatabase_157[[#This Row],[SAPSA Number]],Table1[SAPSA number],Table1[Gender])</f>
        <v>GS</v>
      </c>
      <c r="H43" s="19" t="e">
        <f>_xlfn.XLOOKUP(__xlnm._FilterDatabase_157[[#This Row],[SAPSA Number]],#REF!,#REF!)</f>
        <v>#REF!</v>
      </c>
      <c r="I43" s="19" t="s">
        <v>243</v>
      </c>
      <c r="J43" s="21">
        <f t="shared" si="5"/>
        <v>0</v>
      </c>
      <c r="K43" s="22">
        <f t="shared" si="4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80">
        <v>0</v>
      </c>
    </row>
    <row r="44" spans="1:23" ht="14.4" customHeight="1" x14ac:dyDescent="0.3">
      <c r="A44" s="17">
        <f t="shared" si="6"/>
        <v>4</v>
      </c>
      <c r="B44" s="18">
        <v>1777</v>
      </c>
      <c r="C44" s="18" t="str">
        <f>_xlfn.XLOOKUP(__xlnm._FilterDatabase_157[[#This Row],[SAPSA Number]],Table1[SAPSA number],Table1[Paid up])</f>
        <v>Y</v>
      </c>
      <c r="D44" s="39" t="str">
        <f>_xlfn.XLOOKUP(__xlnm._FilterDatabase_157[[#This Row],[SAPSA Number]],Table1[SAPSA number],Table1[Name])</f>
        <v xml:space="preserve">Leon </v>
      </c>
      <c r="E44" s="39" t="str">
        <f>_xlfn.XLOOKUP(__xlnm._FilterDatabase_157[[#This Row],[SAPSA Number]],Table1[SAPSA number],Table1[Surname])</f>
        <v>Myburgh</v>
      </c>
      <c r="F44" s="20" t="str">
        <f>_xlfn.XLOOKUP(__xlnm._FilterDatabase_157[[#This Row],[SAPSA Number]],Table1[SAPSA number],Table1[Initials])</f>
        <v>LC</v>
      </c>
      <c r="G44" s="17" t="str">
        <f ca="1">_xlfn.XLOOKUP(__xlnm._FilterDatabase_157[[#This Row],[SAPSA Number]],Table1[SAPSA number],Table1[Gender])</f>
        <v>S</v>
      </c>
      <c r="H44" s="19" t="e">
        <f>_xlfn.XLOOKUP(__xlnm._FilterDatabase_157[[#This Row],[SAPSA Number]],#REF!,#REF!)</f>
        <v>#REF!</v>
      </c>
      <c r="I44" s="19" t="s">
        <v>243</v>
      </c>
      <c r="J44" s="21">
        <f t="shared" si="5"/>
        <v>0</v>
      </c>
      <c r="K44" s="22">
        <f t="shared" si="4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80">
        <v>0</v>
      </c>
    </row>
    <row r="45" spans="1:23" ht="14.4" customHeight="1" x14ac:dyDescent="0.3">
      <c r="A45" s="17">
        <f t="shared" si="6"/>
        <v>4</v>
      </c>
      <c r="B45" s="18">
        <v>5804</v>
      </c>
      <c r="C45" s="18" t="str">
        <f>_xlfn.XLOOKUP(__xlnm._FilterDatabase_157[[#This Row],[SAPSA Number]],Table1[SAPSA number],Table1[Paid up])</f>
        <v>Y</v>
      </c>
      <c r="D45" s="39" t="str">
        <f>_xlfn.XLOOKUP(__xlnm._FilterDatabase_157[[#This Row],[SAPSA Number]],Table1[SAPSA number],Table1[Name])</f>
        <v>Louis Johannes</v>
      </c>
      <c r="E45" s="39" t="str">
        <f>_xlfn.XLOOKUP(__xlnm._FilterDatabase_157[[#This Row],[SAPSA Number]],Table1[SAPSA number],Table1[Surname])</f>
        <v>Nel</v>
      </c>
      <c r="F45" s="20" t="str">
        <f>_xlfn.XLOOKUP(__xlnm._FilterDatabase_157[[#This Row],[SAPSA Number]],Table1[SAPSA number],Table1[Initials])</f>
        <v>LJ</v>
      </c>
      <c r="G45" s="17" t="str">
        <f ca="1">_xlfn.XLOOKUP(__xlnm._FilterDatabase_157[[#This Row],[SAPSA Number]],Table1[SAPSA number],Table1[Gender])</f>
        <v xml:space="preserve"> </v>
      </c>
      <c r="H45" s="19" t="e">
        <f>_xlfn.XLOOKUP(__xlnm._FilterDatabase_157[[#This Row],[SAPSA Number]],#REF!,#REF!)</f>
        <v>#REF!</v>
      </c>
      <c r="I45" s="19" t="s">
        <v>243</v>
      </c>
      <c r="J45" s="21">
        <f t="shared" si="5"/>
        <v>0</v>
      </c>
      <c r="K45" s="22">
        <f t="shared" si="4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80">
        <v>0</v>
      </c>
    </row>
    <row r="46" spans="1:23" ht="14.25" customHeight="1" x14ac:dyDescent="0.3">
      <c r="A46" s="17">
        <f t="shared" si="6"/>
        <v>4</v>
      </c>
      <c r="B46" s="88">
        <v>250</v>
      </c>
      <c r="C46" s="18">
        <f>_xlfn.XLOOKUP(__xlnm._FilterDatabase_157[[#This Row],[SAPSA Number]],Table1[SAPSA number],Table1[Paid up])</f>
        <v>0</v>
      </c>
      <c r="D46" s="39" t="str">
        <f>_xlfn.XLOOKUP(__xlnm._FilterDatabase_157[[#This Row],[SAPSA Number]],Table1[SAPSA number],Table1[Name])</f>
        <v>Adriano Walter</v>
      </c>
      <c r="E46" s="39" t="str">
        <f>_xlfn.XLOOKUP(__xlnm._FilterDatabase_157[[#This Row],[SAPSA Number]],Table1[SAPSA number],Table1[Surname])</f>
        <v>Paschini</v>
      </c>
      <c r="F46" s="20" t="str">
        <f>_xlfn.XLOOKUP(__xlnm._FilterDatabase_157[[#This Row],[SAPSA Number]],Table1[SAPSA number],Table1[Initials])</f>
        <v>AW</v>
      </c>
      <c r="G46" s="17" t="str">
        <f ca="1">_xlfn.XLOOKUP(__xlnm._FilterDatabase_157[[#This Row],[SAPSA Number]],Table1[SAPSA number],Table1[Gender])</f>
        <v>SS</v>
      </c>
      <c r="H46" s="19" t="e">
        <f>_xlfn.XLOOKUP(__xlnm._FilterDatabase_157[[#This Row],[SAPSA Number]],#REF!,#REF!)</f>
        <v>#REF!</v>
      </c>
      <c r="I46" s="19" t="s">
        <v>243</v>
      </c>
      <c r="J46" s="21">
        <f t="shared" si="5"/>
        <v>0</v>
      </c>
      <c r="K46" s="22">
        <f t="shared" si="4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80">
        <v>0</v>
      </c>
    </row>
    <row r="47" spans="1:23" ht="14.4" customHeight="1" x14ac:dyDescent="0.3">
      <c r="A47" s="17">
        <f t="shared" si="6"/>
        <v>4</v>
      </c>
      <c r="B47" s="89">
        <v>6633</v>
      </c>
      <c r="C47" s="18">
        <f>_xlfn.XLOOKUP(__xlnm._FilterDatabase_157[[#This Row],[SAPSA Number]],Table1[SAPSA number],Table1[Paid up])</f>
        <v>0</v>
      </c>
      <c r="D47" s="39" t="str">
        <f>_xlfn.XLOOKUP(__xlnm._FilterDatabase_157[[#This Row],[SAPSA Number]],Table1[SAPSA number],Table1[Name])</f>
        <v>Allessandro Raffaele</v>
      </c>
      <c r="E47" s="39" t="str">
        <f>_xlfn.XLOOKUP(__xlnm._FilterDatabase_157[[#This Row],[SAPSA Number]],Table1[SAPSA number],Table1[Surname])</f>
        <v>Paschini</v>
      </c>
      <c r="F47" s="20" t="str">
        <f>_xlfn.XLOOKUP(__xlnm._FilterDatabase_157[[#This Row],[SAPSA Number]],Table1[SAPSA number],Table1[Initials])</f>
        <v>AR</v>
      </c>
      <c r="G47" s="17" t="str">
        <f ca="1">_xlfn.XLOOKUP(__xlnm._FilterDatabase_157[[#This Row],[SAPSA Number]],Table1[SAPSA number],Table1[Gender])</f>
        <v xml:space="preserve"> </v>
      </c>
      <c r="H47" s="19" t="e">
        <f>_xlfn.XLOOKUP(__xlnm._FilterDatabase_157[[#This Row],[SAPSA Number]],#REF!,#REF!)</f>
        <v>#REF!</v>
      </c>
      <c r="I47" s="19" t="s">
        <v>243</v>
      </c>
      <c r="J47" s="21">
        <f t="shared" si="5"/>
        <v>0</v>
      </c>
      <c r="K47" s="22">
        <f t="shared" si="4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80">
        <v>0</v>
      </c>
    </row>
    <row r="48" spans="1:23" ht="14.4" customHeight="1" x14ac:dyDescent="0.3">
      <c r="A48" s="17">
        <f t="shared" si="6"/>
        <v>4</v>
      </c>
      <c r="B48" s="18">
        <v>7478</v>
      </c>
      <c r="C48" s="18">
        <f>_xlfn.XLOOKUP(__xlnm._FilterDatabase_157[[#This Row],[SAPSA Number]],Table1[SAPSA number],Table1[Paid up])</f>
        <v>0</v>
      </c>
      <c r="D48" s="39" t="str">
        <f>_xlfn.XLOOKUP(__xlnm._FilterDatabase_157[[#This Row],[SAPSA Number]],Table1[SAPSA number],Table1[Name])</f>
        <v>Annemarie</v>
      </c>
      <c r="E48" s="39" t="str">
        <f>_xlfn.XLOOKUP(__xlnm._FilterDatabase_157[[#This Row],[SAPSA Number]],Table1[SAPSA number],Table1[Surname])</f>
        <v>Pienaar</v>
      </c>
      <c r="F48" s="20" t="str">
        <f>_xlfn.XLOOKUP(__xlnm._FilterDatabase_157[[#This Row],[SAPSA Number]],Table1[SAPSA number],Table1[Initials])</f>
        <v>A</v>
      </c>
      <c r="G48" s="17" t="str">
        <f>_xlfn.XLOOKUP(__xlnm._FilterDatabase_157[[#This Row],[SAPSA Number]],Table1[SAPSA number],Table1[Gender])</f>
        <v>Lady</v>
      </c>
      <c r="H48" s="19" t="e">
        <f>_xlfn.XLOOKUP(__xlnm._FilterDatabase_157[[#This Row],[SAPSA Number]],#REF!,#REF!)</f>
        <v>#REF!</v>
      </c>
      <c r="I48" s="19" t="s">
        <v>243</v>
      </c>
      <c r="J48" s="21">
        <f t="shared" si="5"/>
        <v>0</v>
      </c>
      <c r="K48" s="22">
        <f t="shared" si="4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80">
        <v>0</v>
      </c>
    </row>
    <row r="49" spans="1:23" ht="14.4" customHeight="1" x14ac:dyDescent="0.3">
      <c r="A49" s="17">
        <f t="shared" si="6"/>
        <v>4</v>
      </c>
      <c r="B49" s="88">
        <v>2950</v>
      </c>
      <c r="C49" s="18">
        <f>_xlfn.XLOOKUP(__xlnm._FilterDatabase_157[[#This Row],[SAPSA Number]],Table1[SAPSA number],Table1[Paid up])</f>
        <v>0</v>
      </c>
      <c r="D49" s="39" t="str">
        <f>_xlfn.XLOOKUP(__xlnm._FilterDatabase_157[[#This Row],[SAPSA Number]],Table1[SAPSA number],Table1[Name])</f>
        <v>Renier Jansen</v>
      </c>
      <c r="E49" s="39" t="str">
        <f>_xlfn.XLOOKUP(__xlnm._FilterDatabase_157[[#This Row],[SAPSA Number]],Table1[SAPSA number],Table1[Surname])</f>
        <v>Reynders</v>
      </c>
      <c r="F49" s="20" t="str">
        <f>_xlfn.XLOOKUP(__xlnm._FilterDatabase_157[[#This Row],[SAPSA Number]],Table1[SAPSA number],Table1[Initials])</f>
        <v>RJ</v>
      </c>
      <c r="G49" s="17" t="str">
        <f ca="1">_xlfn.XLOOKUP(__xlnm._FilterDatabase_157[[#This Row],[SAPSA Number]],Table1[SAPSA number],Table1[Gender])</f>
        <v xml:space="preserve"> </v>
      </c>
      <c r="H49" s="19" t="e">
        <f>_xlfn.XLOOKUP(__xlnm._FilterDatabase_157[[#This Row],[SAPSA Number]],#REF!,#REF!)</f>
        <v>#REF!</v>
      </c>
      <c r="I49" s="19" t="s">
        <v>243</v>
      </c>
      <c r="J49" s="21">
        <f t="shared" si="5"/>
        <v>0</v>
      </c>
      <c r="K49" s="22">
        <f t="shared" si="4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80">
        <v>0</v>
      </c>
    </row>
    <row r="50" spans="1:23" ht="14.4" customHeight="1" x14ac:dyDescent="0.3">
      <c r="A50" s="17">
        <f t="shared" si="6"/>
        <v>4</v>
      </c>
      <c r="B50" s="88">
        <v>1929</v>
      </c>
      <c r="C50" s="18">
        <f>_xlfn.XLOOKUP(__xlnm._FilterDatabase_157[[#This Row],[SAPSA Number]],Table1[SAPSA number],Table1[Paid up])</f>
        <v>0</v>
      </c>
      <c r="D50" s="39" t="str">
        <f>_xlfn.XLOOKUP(__xlnm._FilterDatabase_157[[#This Row],[SAPSA Number]],Table1[SAPSA number],Table1[Name])</f>
        <v>Chris</v>
      </c>
      <c r="E50" s="39" t="str">
        <f>_xlfn.XLOOKUP(__xlnm._FilterDatabase_157[[#This Row],[SAPSA Number]],Table1[SAPSA number],Table1[Surname])</f>
        <v>Ridout</v>
      </c>
      <c r="F50" s="20" t="str">
        <f>_xlfn.XLOOKUP(__xlnm._FilterDatabase_157[[#This Row],[SAPSA Number]],Table1[SAPSA number],Table1[Initials])</f>
        <v>CJ</v>
      </c>
      <c r="G50" s="17" t="str">
        <f ca="1">_xlfn.XLOOKUP(__xlnm._FilterDatabase_157[[#This Row],[SAPSA Number]],Table1[SAPSA number],Table1[Gender])</f>
        <v xml:space="preserve"> </v>
      </c>
      <c r="H50" s="19" t="e">
        <f>_xlfn.XLOOKUP(__xlnm._FilterDatabase_157[[#This Row],[SAPSA Number]],#REF!,#REF!)</f>
        <v>#REF!</v>
      </c>
      <c r="I50" s="19" t="s">
        <v>243</v>
      </c>
      <c r="J50" s="21">
        <f t="shared" si="5"/>
        <v>0</v>
      </c>
      <c r="K50" s="22">
        <f t="shared" si="4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80">
        <v>0</v>
      </c>
    </row>
    <row r="51" spans="1:23" ht="14.4" customHeight="1" x14ac:dyDescent="0.3">
      <c r="A51" s="17">
        <f t="shared" si="6"/>
        <v>4</v>
      </c>
      <c r="B51" s="88">
        <v>3822</v>
      </c>
      <c r="C51" s="18" t="str">
        <f>_xlfn.XLOOKUP(__xlnm._FilterDatabase_157[[#This Row],[SAPSA Number]],Table1[SAPSA number],Table1[Paid up])</f>
        <v>Y</v>
      </c>
      <c r="D51" s="39" t="str">
        <f>_xlfn.XLOOKUP(__xlnm._FilterDatabase_157[[#This Row],[SAPSA Number]],Table1[SAPSA number],Table1[Name])</f>
        <v>Wayne Erald</v>
      </c>
      <c r="E51" s="39" t="str">
        <f>_xlfn.XLOOKUP(__xlnm._FilterDatabase_157[[#This Row],[SAPSA Number]],Table1[SAPSA number],Table1[Surname])</f>
        <v>Schmidt</v>
      </c>
      <c r="F51" s="20" t="str">
        <f>_xlfn.XLOOKUP(__xlnm._FilterDatabase_157[[#This Row],[SAPSA Number]],Table1[SAPSA number],Table1[Initials])</f>
        <v>WE</v>
      </c>
      <c r="G51" s="17" t="str">
        <f ca="1">_xlfn.XLOOKUP(__xlnm._FilterDatabase_157[[#This Row],[SAPSA Number]],Table1[SAPSA number],Table1[Gender])</f>
        <v>S</v>
      </c>
      <c r="H51" s="19" t="e">
        <f>_xlfn.XLOOKUP(__xlnm._FilterDatabase_157[[#This Row],[SAPSA Number]],#REF!,#REF!)</f>
        <v>#REF!</v>
      </c>
      <c r="I51" s="19" t="s">
        <v>243</v>
      </c>
      <c r="J51" s="21">
        <f t="shared" si="5"/>
        <v>0</v>
      </c>
      <c r="K51" s="22">
        <f t="shared" si="4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80">
        <v>0</v>
      </c>
    </row>
    <row r="52" spans="1:23" ht="14.4" customHeight="1" x14ac:dyDescent="0.3">
      <c r="A52" s="17">
        <f t="shared" si="6"/>
        <v>4</v>
      </c>
      <c r="B52" s="88">
        <v>4966</v>
      </c>
      <c r="C52" s="18" t="str">
        <f>_xlfn.XLOOKUP(__xlnm._FilterDatabase_157[[#This Row],[SAPSA Number]],Table1[SAPSA number],Table1[Paid up])</f>
        <v>Y</v>
      </c>
      <c r="D52" s="39" t="str">
        <f>_xlfn.XLOOKUP(__xlnm._FilterDatabase_157[[#This Row],[SAPSA Number]],Table1[SAPSA number],Table1[Name])</f>
        <v>Costantinos</v>
      </c>
      <c r="E52" s="39" t="str">
        <f>_xlfn.XLOOKUP(__xlnm._FilterDatabase_157[[#This Row],[SAPSA Number]],Table1[SAPSA number],Table1[Surname])</f>
        <v>Seindis</v>
      </c>
      <c r="F52" s="20" t="str">
        <f>_xlfn.XLOOKUP(__xlnm._FilterDatabase_157[[#This Row],[SAPSA Number]],Table1[SAPSA number],Table1[Initials])</f>
        <v>C</v>
      </c>
      <c r="G52" s="17" t="str">
        <f ca="1">_xlfn.XLOOKUP(__xlnm._FilterDatabase_157[[#This Row],[SAPSA Number]],Table1[SAPSA number],Table1[Gender])</f>
        <v xml:space="preserve"> </v>
      </c>
      <c r="H52" s="19" t="e">
        <f>_xlfn.XLOOKUP(__xlnm._FilterDatabase_157[[#This Row],[SAPSA Number]],#REF!,#REF!)</f>
        <v>#REF!</v>
      </c>
      <c r="I52" s="19" t="s">
        <v>243</v>
      </c>
      <c r="J52" s="21">
        <f t="shared" si="5"/>
        <v>0</v>
      </c>
      <c r="K52" s="22">
        <f t="shared" si="4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80">
        <v>0</v>
      </c>
    </row>
    <row r="53" spans="1:23" ht="14.4" customHeight="1" x14ac:dyDescent="0.3">
      <c r="A53" s="17">
        <f t="shared" si="6"/>
        <v>4</v>
      </c>
      <c r="B53" s="88">
        <v>572</v>
      </c>
      <c r="C53" s="18" t="str">
        <f>_xlfn.XLOOKUP(__xlnm._FilterDatabase_157[[#This Row],[SAPSA Number]],Table1[SAPSA number],Table1[Paid up])</f>
        <v>Y</v>
      </c>
      <c r="D53" s="39" t="str">
        <f>_xlfn.XLOOKUP(__xlnm._FilterDatabase_157[[#This Row],[SAPSA Number]],Table1[SAPSA number],Table1[Name])</f>
        <v>DJ</v>
      </c>
      <c r="E53" s="39" t="str">
        <f>_xlfn.XLOOKUP(__xlnm._FilterDatabase_157[[#This Row],[SAPSA Number]],Table1[SAPSA number],Table1[Surname])</f>
        <v>Smith</v>
      </c>
      <c r="F53" s="20" t="str">
        <f>_xlfn.XLOOKUP(__xlnm._FilterDatabase_157[[#This Row],[SAPSA Number]],Table1[SAPSA number],Table1[Initials])</f>
        <v>DJ</v>
      </c>
      <c r="G53" s="17" t="str">
        <f ca="1">_xlfn.XLOOKUP(__xlnm._FilterDatabase_157[[#This Row],[SAPSA Number]],Table1[SAPSA number],Table1[Gender])</f>
        <v>SS</v>
      </c>
      <c r="H53" s="19" t="e">
        <f>_xlfn.XLOOKUP(__xlnm._FilterDatabase_157[[#This Row],[SAPSA Number]],#REF!,#REF!)</f>
        <v>#REF!</v>
      </c>
      <c r="I53" s="19" t="s">
        <v>243</v>
      </c>
      <c r="J53" s="21">
        <f t="shared" si="5"/>
        <v>0</v>
      </c>
      <c r="K53" s="22">
        <f t="shared" si="4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80">
        <v>0</v>
      </c>
    </row>
    <row r="54" spans="1:23" ht="14.4" customHeight="1" x14ac:dyDescent="0.3">
      <c r="A54" s="17">
        <f t="shared" si="6"/>
        <v>4</v>
      </c>
      <c r="B54" s="88">
        <v>1321</v>
      </c>
      <c r="C54" s="18">
        <f>_xlfn.XLOOKUP(__xlnm._FilterDatabase_157[[#This Row],[SAPSA Number]],Table1[SAPSA number],Table1[Paid up])</f>
        <v>0</v>
      </c>
      <c r="D54" s="39" t="str">
        <f>_xlfn.XLOOKUP(__xlnm._FilterDatabase_157[[#This Row],[SAPSA Number]],Table1[SAPSA number],Table1[Name])</f>
        <v>Neal Monisen</v>
      </c>
      <c r="E54" s="39" t="str">
        <f>_xlfn.XLOOKUP(__xlnm._FilterDatabase_157[[#This Row],[SAPSA Number]],Table1[SAPSA number],Table1[Surname])</f>
        <v>Sokay</v>
      </c>
      <c r="F54" s="20" t="str">
        <f>_xlfn.XLOOKUP(__xlnm._FilterDatabase_157[[#This Row],[SAPSA Number]],Table1[SAPSA number],Table1[Initials])</f>
        <v>NM</v>
      </c>
      <c r="G54" s="17" t="str">
        <f ca="1">_xlfn.XLOOKUP(__xlnm._FilterDatabase_157[[#This Row],[SAPSA Number]],Table1[SAPSA number],Table1[Gender])</f>
        <v>S</v>
      </c>
      <c r="H54" s="19" t="e">
        <f>_xlfn.XLOOKUP(__xlnm._FilterDatabase_157[[#This Row],[SAPSA Number]],#REF!,#REF!)</f>
        <v>#REF!</v>
      </c>
      <c r="I54" s="19" t="s">
        <v>243</v>
      </c>
      <c r="J54" s="21">
        <f t="shared" si="5"/>
        <v>0</v>
      </c>
      <c r="K54" s="22">
        <f t="shared" si="4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80">
        <v>0</v>
      </c>
    </row>
    <row r="55" spans="1:23" ht="14.4" customHeight="1" x14ac:dyDescent="0.3">
      <c r="A55" s="17">
        <f t="shared" si="6"/>
        <v>4</v>
      </c>
      <c r="B55" s="88">
        <v>3832</v>
      </c>
      <c r="C55" s="18" t="str">
        <f>_xlfn.XLOOKUP(__xlnm._FilterDatabase_157[[#This Row],[SAPSA Number]],Table1[SAPSA number],Table1[Paid up])</f>
        <v>Y</v>
      </c>
      <c r="D55" s="39" t="str">
        <f>_xlfn.XLOOKUP(__xlnm._FilterDatabase_157[[#This Row],[SAPSA Number]],Table1[SAPSA number],Table1[Name])</f>
        <v>Dion Rowlands</v>
      </c>
      <c r="E55" s="39" t="str">
        <f>_xlfn.XLOOKUP(__xlnm._FilterDatabase_157[[#This Row],[SAPSA Number]],Table1[SAPSA number],Table1[Surname])</f>
        <v>Stead</v>
      </c>
      <c r="F55" s="20" t="str">
        <f>_xlfn.XLOOKUP(__xlnm._FilterDatabase_157[[#This Row],[SAPSA Number]],Table1[SAPSA number],Table1[Initials])</f>
        <v>DR</v>
      </c>
      <c r="G55" s="17" t="str">
        <f ca="1">_xlfn.XLOOKUP(__xlnm._FilterDatabase_157[[#This Row],[SAPSA Number]],Table1[SAPSA number],Table1[Gender])</f>
        <v>S</v>
      </c>
      <c r="H55" s="19" t="e">
        <f>_xlfn.XLOOKUP(__xlnm._FilterDatabase_157[[#This Row],[SAPSA Number]],#REF!,#REF!)</f>
        <v>#REF!</v>
      </c>
      <c r="I55" s="19" t="s">
        <v>243</v>
      </c>
      <c r="J55" s="21">
        <f t="shared" si="5"/>
        <v>0</v>
      </c>
      <c r="K55" s="22">
        <f>(LARGE(L55:W55,1)+LARGE(L55:W55,2)+LARGE(L55:W55,3)+LARGE(L55:W55,4)+LARGE(L55:W55,5))/5</f>
        <v>0</v>
      </c>
      <c r="L55" s="23">
        <v>0</v>
      </c>
      <c r="M55" s="24">
        <v>0</v>
      </c>
      <c r="N55" s="79">
        <v>0</v>
      </c>
      <c r="O55" s="80">
        <v>0</v>
      </c>
      <c r="P55" s="79">
        <v>0</v>
      </c>
      <c r="Q55" s="80">
        <v>0</v>
      </c>
      <c r="R55" s="79">
        <v>0</v>
      </c>
      <c r="S55" s="80">
        <v>0</v>
      </c>
      <c r="T55" s="79">
        <v>0</v>
      </c>
      <c r="U55" s="80">
        <v>0</v>
      </c>
      <c r="V55" s="79">
        <v>0</v>
      </c>
      <c r="W55" s="80">
        <v>0</v>
      </c>
    </row>
    <row r="56" spans="1:23" ht="14.4" customHeight="1" x14ac:dyDescent="0.3">
      <c r="A56" s="17">
        <f t="shared" si="6"/>
        <v>4</v>
      </c>
      <c r="B56" s="88">
        <v>4858</v>
      </c>
      <c r="C56" s="18" t="str">
        <f>_xlfn.XLOOKUP(__xlnm._FilterDatabase_157[[#This Row],[SAPSA Number]],Table1[SAPSA number],Table1[Paid up])</f>
        <v>Y</v>
      </c>
      <c r="D56" s="39" t="str">
        <f>_xlfn.XLOOKUP(__xlnm._FilterDatabase_157[[#This Row],[SAPSA Number]],Table1[SAPSA number],Table1[Name])</f>
        <v>Jacques</v>
      </c>
      <c r="E56" s="39" t="str">
        <f>_xlfn.XLOOKUP(__xlnm._FilterDatabase_157[[#This Row],[SAPSA Number]],Table1[SAPSA number],Table1[Surname])</f>
        <v>Swanepoel</v>
      </c>
      <c r="F56" s="20" t="str">
        <f>_xlfn.XLOOKUP(__xlnm._FilterDatabase_157[[#This Row],[SAPSA Number]],Table1[SAPSA number],Table1[Initials])</f>
        <v>J</v>
      </c>
      <c r="G56" s="17" t="str">
        <f ca="1">_xlfn.XLOOKUP(__xlnm._FilterDatabase_157[[#This Row],[SAPSA Number]],Table1[SAPSA number],Table1[Gender])</f>
        <v xml:space="preserve"> </v>
      </c>
      <c r="H56" s="19" t="e">
        <f>_xlfn.XLOOKUP(__xlnm._FilterDatabase_157[[#This Row],[SAPSA Number]],#REF!,#REF!)</f>
        <v>#REF!</v>
      </c>
      <c r="I56" s="19" t="s">
        <v>243</v>
      </c>
      <c r="J56" s="21">
        <f t="shared" si="5"/>
        <v>0</v>
      </c>
      <c r="K56" s="22">
        <f t="shared" ref="K56:K70" si="7">(LARGE(L56:U56,1)+LARGE(L56:U56,2)+LARGE(L56:U56,3)+LARGE(L56:U56,4)+LARGE(L56:U56,5))/5</f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80">
        <v>0</v>
      </c>
    </row>
    <row r="57" spans="1:23" ht="14.4" customHeight="1" x14ac:dyDescent="0.3">
      <c r="A57" s="17">
        <f t="shared" si="6"/>
        <v>4</v>
      </c>
      <c r="B57" s="88">
        <v>4672</v>
      </c>
      <c r="C57" s="18" t="str">
        <f>_xlfn.XLOOKUP(__xlnm._FilterDatabase_157[[#This Row],[SAPSA Number]],Table1[SAPSA number],Table1[Paid up])</f>
        <v>Y</v>
      </c>
      <c r="D57" s="39" t="str">
        <f>_xlfn.XLOOKUP(__xlnm._FilterDatabase_157[[#This Row],[SAPSA Number]],Table1[SAPSA number],Table1[Name])</f>
        <v>Frederick John</v>
      </c>
      <c r="E57" s="39" t="str">
        <f>_xlfn.XLOOKUP(__xlnm._FilterDatabase_157[[#This Row],[SAPSA Number]],Table1[SAPSA number],Table1[Surname])</f>
        <v>Turnbull</v>
      </c>
      <c r="F57" s="20" t="str">
        <f>_xlfn.XLOOKUP(__xlnm._FilterDatabase_157[[#This Row],[SAPSA Number]],Table1[SAPSA number],Table1[Initials])</f>
        <v>FJ</v>
      </c>
      <c r="G57" s="17" t="str">
        <f ca="1">_xlfn.XLOOKUP(__xlnm._FilterDatabase_157[[#This Row],[SAPSA Number]],Table1[SAPSA number],Table1[Gender])</f>
        <v>SS</v>
      </c>
      <c r="H57" s="19" t="e">
        <f>_xlfn.XLOOKUP(__xlnm._FilterDatabase_157[[#This Row],[SAPSA Number]],#REF!,#REF!)</f>
        <v>#REF!</v>
      </c>
      <c r="I57" s="19" t="s">
        <v>243</v>
      </c>
      <c r="J57" s="21">
        <f t="shared" si="5"/>
        <v>0</v>
      </c>
      <c r="K57" s="22">
        <f t="shared" si="7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80">
        <v>0</v>
      </c>
    </row>
    <row r="58" spans="1:23" ht="14.4" customHeight="1" x14ac:dyDescent="0.3">
      <c r="A58" s="17">
        <f t="shared" si="6"/>
        <v>4</v>
      </c>
      <c r="B58" s="88">
        <v>1931</v>
      </c>
      <c r="C58" s="18">
        <f>_xlfn.XLOOKUP(__xlnm._FilterDatabase_157[[#This Row],[SAPSA Number]],Table1[SAPSA number],Table1[Paid up])</f>
        <v>0</v>
      </c>
      <c r="D58" s="39" t="str">
        <f>_xlfn.XLOOKUP(__xlnm._FilterDatabase_157[[#This Row],[SAPSA Number]],Table1[SAPSA number],Table1[Name])</f>
        <v>Sylvia</v>
      </c>
      <c r="E58" s="39" t="str">
        <f>_xlfn.XLOOKUP(__xlnm._FilterDatabase_157[[#This Row],[SAPSA Number]],Table1[SAPSA number],Table1[Surname])</f>
        <v>Van der Neut</v>
      </c>
      <c r="F58" s="20" t="str">
        <f>_xlfn.XLOOKUP(__xlnm._FilterDatabase_157[[#This Row],[SAPSA Number]],Table1[SAPSA number],Table1[Initials])</f>
        <v>S</v>
      </c>
      <c r="G58" s="17" t="str">
        <f>_xlfn.XLOOKUP(__xlnm._FilterDatabase_157[[#This Row],[SAPSA Number]],Table1[SAPSA number],Table1[Gender])</f>
        <v>Lady</v>
      </c>
      <c r="H58" s="19" t="e">
        <f>_xlfn.XLOOKUP(__xlnm._FilterDatabase_157[[#This Row],[SAPSA Number]],#REF!,#REF!)</f>
        <v>#REF!</v>
      </c>
      <c r="I58" s="19" t="s">
        <v>243</v>
      </c>
      <c r="J58" s="21">
        <f t="shared" si="5"/>
        <v>0</v>
      </c>
      <c r="K58" s="22">
        <f t="shared" si="7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80">
        <v>0</v>
      </c>
    </row>
    <row r="59" spans="1:23" ht="14.4" customHeight="1" x14ac:dyDescent="0.3">
      <c r="A59" s="17">
        <f t="shared" si="6"/>
        <v>4</v>
      </c>
      <c r="B59" s="88">
        <v>5616</v>
      </c>
      <c r="C59" s="18">
        <f>_xlfn.XLOOKUP(__xlnm._FilterDatabase_157[[#This Row],[SAPSA Number]],Table1[SAPSA number],Table1[Paid up])</f>
        <v>0</v>
      </c>
      <c r="D59" s="39" t="str">
        <f>_xlfn.XLOOKUP(__xlnm._FilterDatabase_157[[#This Row],[SAPSA Number]],Table1[SAPSA number],Table1[Name])</f>
        <v>Cornelis Herman</v>
      </c>
      <c r="E59" s="39" t="str">
        <f>_xlfn.XLOOKUP(__xlnm._FilterDatabase_157[[#This Row],[SAPSA Number]],Table1[SAPSA number],Table1[Surname])</f>
        <v>van Driel</v>
      </c>
      <c r="F59" s="20" t="str">
        <f>_xlfn.XLOOKUP(__xlnm._FilterDatabase_157[[#This Row],[SAPSA Number]],Table1[SAPSA number],Table1[Initials])</f>
        <v>CH</v>
      </c>
      <c r="G59" s="17" t="str">
        <f ca="1">_xlfn.XLOOKUP(__xlnm._FilterDatabase_157[[#This Row],[SAPSA Number]],Table1[SAPSA number],Table1[Gender])</f>
        <v xml:space="preserve"> </v>
      </c>
      <c r="H59" s="19" t="e">
        <f>_xlfn.XLOOKUP(__xlnm._FilterDatabase_157[[#This Row],[SAPSA Number]],#REF!,#REF!)</f>
        <v>#REF!</v>
      </c>
      <c r="I59" s="19" t="s">
        <v>243</v>
      </c>
      <c r="J59" s="21">
        <f t="shared" si="5"/>
        <v>0</v>
      </c>
      <c r="K59" s="22">
        <f t="shared" si="7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80">
        <v>0</v>
      </c>
    </row>
    <row r="60" spans="1:23" ht="14.4" customHeight="1" x14ac:dyDescent="0.3">
      <c r="A60" s="17">
        <f t="shared" si="6"/>
        <v>4</v>
      </c>
      <c r="B60" s="18">
        <v>6564</v>
      </c>
      <c r="C60" s="18" t="str">
        <f>_xlfn.XLOOKUP(__xlnm._FilterDatabase_157[[#This Row],[SAPSA Number]],Table1[SAPSA number],Table1[Paid up])</f>
        <v>Y</v>
      </c>
      <c r="D60" s="39" t="str">
        <f>_xlfn.XLOOKUP(__xlnm._FilterDatabase_157[[#This Row],[SAPSA Number]],Table1[SAPSA number],Table1[Name])</f>
        <v>Kwimton Schalk</v>
      </c>
      <c r="E60" s="39" t="str">
        <f>_xlfn.XLOOKUP(__xlnm._FilterDatabase_157[[#This Row],[SAPSA Number]],Table1[SAPSA number],Table1[Surname])</f>
        <v>van Jaarsveld</v>
      </c>
      <c r="F60" s="20" t="str">
        <f>_xlfn.XLOOKUP(__xlnm._FilterDatabase_157[[#This Row],[SAPSA Number]],Table1[SAPSA number],Table1[Initials])</f>
        <v>KS</v>
      </c>
      <c r="G60" s="17" t="str">
        <f ca="1">_xlfn.XLOOKUP(__xlnm._FilterDatabase_157[[#This Row],[SAPSA Number]],Table1[SAPSA number],Table1[Gender])</f>
        <v xml:space="preserve"> </v>
      </c>
      <c r="H60" s="19" t="e">
        <f>_xlfn.XLOOKUP(__xlnm._FilterDatabase_157[[#This Row],[SAPSA Number]],#REF!,#REF!)</f>
        <v>#REF!</v>
      </c>
      <c r="I60" s="19" t="s">
        <v>243</v>
      </c>
      <c r="J60" s="21">
        <f t="shared" si="5"/>
        <v>0</v>
      </c>
      <c r="K60" s="22">
        <f t="shared" si="7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80">
        <v>0</v>
      </c>
    </row>
    <row r="61" spans="1:23" ht="14.4" customHeight="1" x14ac:dyDescent="0.3">
      <c r="A61" s="17">
        <f t="shared" si="6"/>
        <v>4</v>
      </c>
      <c r="B61" s="90">
        <v>5262</v>
      </c>
      <c r="C61" s="18" t="str">
        <f>_xlfn.XLOOKUP(__xlnm._FilterDatabase_157[[#This Row],[SAPSA Number]],Table1[SAPSA number],Table1[Paid up])</f>
        <v>Y</v>
      </c>
      <c r="D61" s="39" t="str">
        <f>_xlfn.XLOOKUP(__xlnm._FilterDatabase_157[[#This Row],[SAPSA Number]],Table1[SAPSA number],Table1[Name])</f>
        <v>Andre</v>
      </c>
      <c r="E61" s="39" t="str">
        <f>_xlfn.XLOOKUP(__xlnm._FilterDatabase_157[[#This Row],[SAPSA Number]],Table1[SAPSA number],Table1[Surname])</f>
        <v>van Rooyen</v>
      </c>
      <c r="F61" s="20" t="str">
        <f>_xlfn.XLOOKUP(__xlnm._FilterDatabase_157[[#This Row],[SAPSA Number]],Table1[SAPSA number],Table1[Initials])</f>
        <v>A</v>
      </c>
      <c r="G61" s="17" t="str">
        <f ca="1">_xlfn.XLOOKUP(__xlnm._FilterDatabase_157[[#This Row],[SAPSA Number]],Table1[SAPSA number],Table1[Gender])</f>
        <v xml:space="preserve"> </v>
      </c>
      <c r="H61" s="19" t="e">
        <f>_xlfn.XLOOKUP(__xlnm._FilterDatabase_157[[#This Row],[SAPSA Number]],#REF!,#REF!)</f>
        <v>#REF!</v>
      </c>
      <c r="I61" s="19" t="s">
        <v>243</v>
      </c>
      <c r="J61" s="21">
        <f t="shared" si="5"/>
        <v>0</v>
      </c>
      <c r="K61" s="22">
        <f t="shared" si="7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80">
        <v>0</v>
      </c>
    </row>
    <row r="62" spans="1:23" ht="14.4" customHeight="1" x14ac:dyDescent="0.3">
      <c r="A62" s="17">
        <f t="shared" si="6"/>
        <v>4</v>
      </c>
      <c r="B62" s="90">
        <v>5971</v>
      </c>
      <c r="C62" s="18">
        <f>_xlfn.XLOOKUP(__xlnm._FilterDatabase_157[[#This Row],[SAPSA Number]],Table1[SAPSA number],Table1[Paid up])</f>
        <v>0</v>
      </c>
      <c r="D62" s="39" t="str">
        <f>_xlfn.XLOOKUP(__xlnm._FilterDatabase_157[[#This Row],[SAPSA Number]],Table1[SAPSA number],Table1[Name])</f>
        <v>Hendrik</v>
      </c>
      <c r="E62" s="39" t="str">
        <f>_xlfn.XLOOKUP(__xlnm._FilterDatabase_157[[#This Row],[SAPSA Number]],Table1[SAPSA number],Table1[Surname])</f>
        <v>van Rooyen</v>
      </c>
      <c r="F62" s="20" t="str">
        <f>_xlfn.XLOOKUP(__xlnm._FilterDatabase_157[[#This Row],[SAPSA Number]],Table1[SAPSA number],Table1[Initials])</f>
        <v>H</v>
      </c>
      <c r="G62" s="17" t="str">
        <f ca="1">_xlfn.XLOOKUP(__xlnm._FilterDatabase_157[[#This Row],[SAPSA Number]],Table1[SAPSA number],Table1[Gender])</f>
        <v>S</v>
      </c>
      <c r="H62" s="19" t="e">
        <f>_xlfn.XLOOKUP(__xlnm._FilterDatabase_157[[#This Row],[SAPSA Number]],#REF!,#REF!)</f>
        <v>#REF!</v>
      </c>
      <c r="I62" s="19" t="s">
        <v>243</v>
      </c>
      <c r="J62" s="21">
        <f t="shared" si="5"/>
        <v>0</v>
      </c>
      <c r="K62" s="22">
        <f t="shared" si="7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80">
        <v>0</v>
      </c>
    </row>
    <row r="63" spans="1:23" ht="14.4" customHeight="1" x14ac:dyDescent="0.3">
      <c r="A63" s="17">
        <f t="shared" si="6"/>
        <v>4</v>
      </c>
      <c r="B63" s="90">
        <v>2051</v>
      </c>
      <c r="C63" s="18" t="str">
        <f>_xlfn.XLOOKUP(__xlnm._FilterDatabase_157[[#This Row],[SAPSA Number]],Table1[SAPSA number],Table1[Paid up])</f>
        <v>Y</v>
      </c>
      <c r="D63" s="39" t="str">
        <f>_xlfn.XLOOKUP(__xlnm._FilterDatabase_157[[#This Row],[SAPSA Number]],Table1[SAPSA number],Table1[Name])</f>
        <v>Simon Adriaan</v>
      </c>
      <c r="E63" s="39" t="str">
        <f>_xlfn.XLOOKUP(__xlnm._FilterDatabase_157[[#This Row],[SAPSA Number]],Table1[SAPSA number],Table1[Surname])</f>
        <v>Vermooten</v>
      </c>
      <c r="F63" s="20" t="str">
        <f>_xlfn.XLOOKUP(__xlnm._FilterDatabase_157[[#This Row],[SAPSA Number]],Table1[SAPSA number],Table1[Initials])</f>
        <v>SA</v>
      </c>
      <c r="G63" s="17" t="str">
        <f ca="1">_xlfn.XLOOKUP(__xlnm._FilterDatabase_157[[#This Row],[SAPSA Number]],Table1[SAPSA number],Table1[Gender])</f>
        <v>GS</v>
      </c>
      <c r="H63" s="19" t="e">
        <f>_xlfn.XLOOKUP(__xlnm._FilterDatabase_157[[#This Row],[SAPSA Number]],#REF!,#REF!)</f>
        <v>#REF!</v>
      </c>
      <c r="I63" s="19" t="s">
        <v>243</v>
      </c>
      <c r="J63" s="21">
        <f t="shared" si="5"/>
        <v>0</v>
      </c>
      <c r="K63" s="22">
        <f t="shared" si="7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80">
        <v>0</v>
      </c>
    </row>
    <row r="64" spans="1:23" ht="14.4" customHeight="1" x14ac:dyDescent="0.3">
      <c r="A64" s="17">
        <f t="shared" si="6"/>
        <v>4</v>
      </c>
      <c r="B64" s="90">
        <v>2089</v>
      </c>
      <c r="C64" s="18" t="str">
        <f>_xlfn.XLOOKUP(__xlnm._FilterDatabase_157[[#This Row],[SAPSA Number]],Table1[SAPSA number],Table1[Paid up])</f>
        <v>Y</v>
      </c>
      <c r="D64" s="39" t="str">
        <f>_xlfn.XLOOKUP(__xlnm._FilterDatabase_157[[#This Row],[SAPSA Number]],Table1[SAPSA number],Table1[Name])</f>
        <v>Doané</v>
      </c>
      <c r="E64" s="39" t="str">
        <f>_xlfn.XLOOKUP(__xlnm._FilterDatabase_157[[#This Row],[SAPSA Number]],Table1[SAPSA number],Table1[Surname])</f>
        <v>Vermooten</v>
      </c>
      <c r="F64" s="20" t="str">
        <f>_xlfn.XLOOKUP(__xlnm._FilterDatabase_157[[#This Row],[SAPSA Number]],Table1[SAPSA number],Table1[Initials])</f>
        <v>D</v>
      </c>
      <c r="G64" s="17" t="str">
        <f ca="1">_xlfn.XLOOKUP(__xlnm._FilterDatabase_157[[#This Row],[SAPSA Number]],Table1[SAPSA number],Table1[Gender])</f>
        <v xml:space="preserve"> </v>
      </c>
      <c r="H64" s="19" t="e">
        <f>_xlfn.XLOOKUP(__xlnm._FilterDatabase_157[[#This Row],[SAPSA Number]],#REF!,#REF!)</f>
        <v>#REF!</v>
      </c>
      <c r="I64" s="19" t="s">
        <v>243</v>
      </c>
      <c r="J64" s="21">
        <f t="shared" si="5"/>
        <v>0</v>
      </c>
      <c r="K64" s="22">
        <f t="shared" si="7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80">
        <v>0</v>
      </c>
    </row>
    <row r="65" spans="1:23" ht="14.4" customHeight="1" x14ac:dyDescent="0.3">
      <c r="A65" s="17">
        <f t="shared" si="6"/>
        <v>4</v>
      </c>
      <c r="B65" s="27">
        <v>896</v>
      </c>
      <c r="C65" s="18" t="str">
        <f>_xlfn.XLOOKUP(__xlnm._FilterDatabase_157[[#This Row],[SAPSA Number]],Table1[SAPSA number],Table1[Paid up])</f>
        <v>Y</v>
      </c>
      <c r="D65" s="39" t="str">
        <f>_xlfn.XLOOKUP(__xlnm._FilterDatabase_157[[#This Row],[SAPSA Number]],Table1[SAPSA number],Table1[Name])</f>
        <v>Johannes Francois</v>
      </c>
      <c r="E65" s="39" t="str">
        <f>_xlfn.XLOOKUP(__xlnm._FilterDatabase_157[[#This Row],[SAPSA Number]],Table1[SAPSA number],Table1[Surname])</f>
        <v>Wheeler</v>
      </c>
      <c r="F65" s="20" t="str">
        <f>_xlfn.XLOOKUP(__xlnm._FilterDatabase_157[[#This Row],[SAPSA Number]],Table1[SAPSA number],Table1[Initials])</f>
        <v>JF</v>
      </c>
      <c r="G65" s="17" t="str">
        <f ca="1">_xlfn.XLOOKUP(__xlnm._FilterDatabase_157[[#This Row],[SAPSA Number]],Table1[SAPSA number],Table1[Gender])</f>
        <v xml:space="preserve"> </v>
      </c>
      <c r="H65" s="19" t="e">
        <f>_xlfn.XLOOKUP(__xlnm._FilterDatabase_157[[#This Row],[SAPSA Number]],#REF!,#REF!)</f>
        <v>#REF!</v>
      </c>
      <c r="I65" s="19" t="s">
        <v>243</v>
      </c>
      <c r="J65" s="21">
        <f t="shared" si="5"/>
        <v>0</v>
      </c>
      <c r="K65" s="22">
        <f t="shared" si="7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80">
        <v>0</v>
      </c>
    </row>
    <row r="66" spans="1:23" ht="14.4" customHeight="1" x14ac:dyDescent="0.3">
      <c r="A66" s="17">
        <f t="shared" si="6"/>
        <v>4</v>
      </c>
      <c r="B66" s="90">
        <v>1716</v>
      </c>
      <c r="C66" s="18" t="str">
        <f>_xlfn.XLOOKUP(__xlnm._FilterDatabase_157[[#This Row],[SAPSA Number]],Table1[SAPSA number],Table1[Paid up])</f>
        <v>Y</v>
      </c>
      <c r="D66" s="39" t="str">
        <f>_xlfn.XLOOKUP(__xlnm._FilterDatabase_157[[#This Row],[SAPSA Number]],Table1[SAPSA number],Table1[Name])</f>
        <v>Albert</v>
      </c>
      <c r="E66" s="39" t="str">
        <f>_xlfn.XLOOKUP(__xlnm._FilterDatabase_157[[#This Row],[SAPSA Number]],Table1[SAPSA number],Table1[Surname])</f>
        <v>Wöcke</v>
      </c>
      <c r="F66" s="20" t="str">
        <f>_xlfn.XLOOKUP(__xlnm._FilterDatabase_157[[#This Row],[SAPSA Number]],Table1[SAPSA number],Table1[Initials])</f>
        <v>A</v>
      </c>
      <c r="G66" s="17" t="str">
        <f ca="1">_xlfn.XLOOKUP(__xlnm._FilterDatabase_157[[#This Row],[SAPSA Number]],Table1[SAPSA number],Table1[Gender])</f>
        <v>S</v>
      </c>
      <c r="H66" s="19" t="e">
        <f>_xlfn.XLOOKUP(__xlnm._FilterDatabase_157[[#This Row],[SAPSA Number]],#REF!,#REF!)</f>
        <v>#REF!</v>
      </c>
      <c r="I66" s="19" t="s">
        <v>243</v>
      </c>
      <c r="J66" s="21">
        <f t="shared" si="5"/>
        <v>0</v>
      </c>
      <c r="K66" s="22">
        <f t="shared" si="7"/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80">
        <v>0</v>
      </c>
    </row>
    <row r="67" spans="1:23" x14ac:dyDescent="0.3">
      <c r="A67" s="17">
        <f t="shared" si="6"/>
        <v>4</v>
      </c>
      <c r="B67" s="90">
        <v>3810</v>
      </c>
      <c r="C67" s="18"/>
      <c r="D67" s="39" t="str">
        <f>_xlfn.XLOOKUP(__xlnm._FilterDatabase_157[[#This Row],[SAPSA Number]],Table1[SAPSA number],Table1[Name])</f>
        <v>Roelof</v>
      </c>
      <c r="E67" s="39" t="str">
        <f>_xlfn.XLOOKUP(__xlnm._FilterDatabase_157[[#This Row],[SAPSA Number]],Table1[SAPSA number],Table1[Surname])</f>
        <v>Liebenberg</v>
      </c>
      <c r="F67" s="20" t="str">
        <f>_xlfn.XLOOKUP(__xlnm._FilterDatabase_157[[#This Row],[SAPSA Number]],Table1[SAPSA number],Table1[Initials])</f>
        <v>R</v>
      </c>
      <c r="G67" s="17" t="str">
        <f ca="1">_xlfn.XLOOKUP(__xlnm._FilterDatabase_157[[#This Row],[SAPSA Number]],Table1[SAPSA number],Table1[Gender])</f>
        <v>S</v>
      </c>
      <c r="H67" s="19" t="e">
        <f>_xlfn.XLOOKUP(__xlnm._FilterDatabase_157[[#This Row],[SAPSA Number]],#REF!,#REF!)</f>
        <v>#REF!</v>
      </c>
      <c r="I67" s="19" t="s">
        <v>243</v>
      </c>
      <c r="J67" s="21">
        <f t="shared" si="5"/>
        <v>0</v>
      </c>
      <c r="K67" s="22">
        <f t="shared" si="7"/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80">
        <v>0</v>
      </c>
    </row>
    <row r="68" spans="1:23" x14ac:dyDescent="0.3">
      <c r="A68" s="17">
        <f t="shared" si="6"/>
        <v>4</v>
      </c>
      <c r="B68" s="90">
        <v>401</v>
      </c>
      <c r="C68" s="18"/>
      <c r="D68" s="39" t="str">
        <f>_xlfn.XLOOKUP(__xlnm._FilterDatabase_157[[#This Row],[SAPSA Number]],Table1[SAPSA number],Table1[Name])</f>
        <v>Sebella</v>
      </c>
      <c r="E68" s="39" t="str">
        <f>_xlfn.XLOOKUP(__xlnm._FilterDatabase_157[[#This Row],[SAPSA Number]],Table1[SAPSA number],Table1[Surname])</f>
        <v>O'Donovan</v>
      </c>
      <c r="F68" s="20" t="str">
        <f>_xlfn.XLOOKUP(__xlnm._FilterDatabase_157[[#This Row],[SAPSA Number]],Table1[SAPSA number],Table1[Initials])</f>
        <v>S</v>
      </c>
      <c r="G68" s="17" t="str">
        <f>_xlfn.XLOOKUP(__xlnm._FilterDatabase_157[[#This Row],[SAPSA Number]],Table1[SAPSA number],Table1[Gender])</f>
        <v>Lady</v>
      </c>
      <c r="H68" s="19" t="e">
        <f>_xlfn.XLOOKUP(__xlnm._FilterDatabase_157[[#This Row],[SAPSA Number]],#REF!,#REF!)</f>
        <v>#REF!</v>
      </c>
      <c r="I68" s="19" t="s">
        <v>243</v>
      </c>
      <c r="J68" s="21">
        <f t="shared" si="5"/>
        <v>0</v>
      </c>
      <c r="K68" s="22">
        <f t="shared" si="7"/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80">
        <v>0</v>
      </c>
    </row>
    <row r="69" spans="1:23" x14ac:dyDescent="0.3">
      <c r="A69" s="17">
        <f t="shared" si="6"/>
        <v>4</v>
      </c>
      <c r="B69" s="90">
        <v>1547</v>
      </c>
      <c r="C69" s="18"/>
      <c r="D69" s="39" t="str">
        <f>_xlfn.XLOOKUP(__xlnm._FilterDatabase_157[[#This Row],[SAPSA Number]],Table1[SAPSA number],Table1[Name])</f>
        <v>Marius Frans</v>
      </c>
      <c r="E69" s="39" t="str">
        <f>_xlfn.XLOOKUP(__xlnm._FilterDatabase_157[[#This Row],[SAPSA Number]],Table1[SAPSA number],Table1[Surname])</f>
        <v>van Biljon</v>
      </c>
      <c r="F69" s="20" t="str">
        <f>_xlfn.XLOOKUP(__xlnm._FilterDatabase_157[[#This Row],[SAPSA Number]],Table1[SAPSA number],Table1[Initials])</f>
        <v>MF</v>
      </c>
      <c r="G69" s="17" t="str">
        <f ca="1">_xlfn.XLOOKUP(__xlnm._FilterDatabase_157[[#This Row],[SAPSA Number]],Table1[SAPSA number],Table1[Gender])</f>
        <v>S</v>
      </c>
      <c r="H69" s="19" t="e">
        <f>_xlfn.XLOOKUP(__xlnm._FilterDatabase_157[[#This Row],[SAPSA Number]],#REF!,#REF!)</f>
        <v>#REF!</v>
      </c>
      <c r="I69" s="19" t="s">
        <v>243</v>
      </c>
      <c r="J69" s="21">
        <f t="shared" si="5"/>
        <v>0</v>
      </c>
      <c r="K69" s="22">
        <f t="shared" si="7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80">
        <v>0</v>
      </c>
    </row>
    <row r="70" spans="1:23" x14ac:dyDescent="0.3">
      <c r="A70" s="17">
        <f t="shared" si="6"/>
        <v>4</v>
      </c>
      <c r="B70" s="90">
        <v>3837</v>
      </c>
      <c r="C70" s="18"/>
      <c r="D70" s="39" t="str">
        <f>_xlfn.XLOOKUP(__xlnm._FilterDatabase_157[[#This Row],[SAPSA Number]],Table1[SAPSA number],Table1[Name])</f>
        <v>Daneel</v>
      </c>
      <c r="E70" s="39" t="str">
        <f>_xlfn.XLOOKUP(__xlnm._FilterDatabase_157[[#This Row],[SAPSA Number]],Table1[SAPSA number],Table1[Surname])</f>
        <v>van eck</v>
      </c>
      <c r="F70" s="20" t="str">
        <f>_xlfn.XLOOKUP(__xlnm._FilterDatabase_157[[#This Row],[SAPSA Number]],Table1[SAPSA number],Table1[Initials])</f>
        <v>DJ</v>
      </c>
      <c r="G70" s="17" t="str">
        <f ca="1">_xlfn.XLOOKUP(__xlnm._FilterDatabase_157[[#This Row],[SAPSA Number]],Table1[SAPSA number],Table1[Gender])</f>
        <v xml:space="preserve"> </v>
      </c>
      <c r="H70" s="19" t="e">
        <f>_xlfn.XLOOKUP(__xlnm._FilterDatabase_157[[#This Row],[SAPSA Number]],#REF!,#REF!)</f>
        <v>#REF!</v>
      </c>
      <c r="I70" s="19" t="s">
        <v>243</v>
      </c>
      <c r="J70" s="21">
        <f t="shared" si="5"/>
        <v>0</v>
      </c>
      <c r="K70" s="22">
        <f t="shared" si="7"/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80">
        <v>0</v>
      </c>
    </row>
    <row r="71" spans="1:23" x14ac:dyDescent="0.3">
      <c r="A71" s="17"/>
      <c r="B71" s="90"/>
      <c r="C71" s="18"/>
      <c r="D71" s="39"/>
      <c r="E71" s="39"/>
      <c r="F71" s="20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80"/>
    </row>
    <row r="72" spans="1:23" x14ac:dyDescent="0.3">
      <c r="A72" s="17"/>
      <c r="B72" s="88"/>
      <c r="C72" s="18"/>
      <c r="D72" s="39"/>
      <c r="E72" s="39"/>
      <c r="F72" s="20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80"/>
    </row>
    <row r="73" spans="1:23" x14ac:dyDescent="0.3">
      <c r="A73" s="17"/>
      <c r="B73" s="18"/>
      <c r="C73" s="18"/>
      <c r="D73" s="39"/>
      <c r="E73" s="39"/>
      <c r="F73" s="20"/>
      <c r="G73" s="17"/>
      <c r="H73" s="19"/>
      <c r="I73" s="19"/>
      <c r="J73" s="21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80"/>
    </row>
    <row r="74" spans="1:23" x14ac:dyDescent="0.3">
      <c r="A74" s="17"/>
      <c r="B74" s="143"/>
      <c r="C74" s="18"/>
      <c r="D74" s="39"/>
      <c r="E74" s="39"/>
      <c r="F74" s="20"/>
      <c r="G74" s="17"/>
      <c r="H74" s="19"/>
      <c r="I74" s="19"/>
      <c r="J74" s="21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80"/>
    </row>
    <row r="75" spans="1:23" x14ac:dyDescent="0.3">
      <c r="A75" s="17"/>
      <c r="B75" s="90"/>
      <c r="C75" s="18"/>
      <c r="D75" s="39"/>
      <c r="E75" s="39"/>
      <c r="F75" s="20"/>
      <c r="G75" s="17"/>
      <c r="H75" s="19"/>
      <c r="I75" s="19"/>
      <c r="J75" s="21"/>
      <c r="K75" s="22"/>
      <c r="L75" s="23"/>
      <c r="M75" s="24"/>
      <c r="N75" s="79"/>
      <c r="O75" s="80"/>
      <c r="P75" s="79"/>
      <c r="Q75" s="80"/>
      <c r="R75" s="79"/>
      <c r="S75" s="80"/>
      <c r="T75" s="79"/>
      <c r="U75" s="80"/>
      <c r="V75" s="79"/>
      <c r="W75" s="80"/>
    </row>
    <row r="76" spans="1:23" x14ac:dyDescent="0.3">
      <c r="A76" s="31"/>
      <c r="B76" s="93"/>
      <c r="C76" s="18"/>
      <c r="D76" s="39"/>
      <c r="E76" s="39"/>
      <c r="F76" s="20"/>
      <c r="G76" s="17"/>
      <c r="H76" s="19"/>
      <c r="I76" s="19"/>
      <c r="J76" s="34"/>
      <c r="K76" s="22"/>
      <c r="L76" s="23"/>
      <c r="M76" s="24"/>
      <c r="N76" s="79"/>
      <c r="O76" s="80"/>
      <c r="P76" s="79"/>
      <c r="Q76" s="80"/>
      <c r="R76" s="79"/>
      <c r="S76" s="80"/>
      <c r="T76" s="79"/>
      <c r="U76" s="80"/>
      <c r="V76" s="79"/>
      <c r="W76" s="80"/>
    </row>
    <row r="77" spans="1:23" x14ac:dyDescent="0.3">
      <c r="A77" s="31"/>
      <c r="B77" s="93"/>
      <c r="C77" s="18"/>
      <c r="D77" s="39"/>
      <c r="E77" s="39"/>
      <c r="F77" s="20"/>
      <c r="G77" s="17"/>
      <c r="H77" s="19"/>
      <c r="I77" s="19"/>
      <c r="J77" s="34"/>
      <c r="K77" s="22"/>
      <c r="L77" s="23"/>
      <c r="M77" s="24"/>
      <c r="N77" s="79"/>
      <c r="O77" s="80"/>
      <c r="P77" s="79"/>
      <c r="Q77" s="80"/>
      <c r="R77" s="79"/>
      <c r="S77" s="80"/>
      <c r="T77" s="79"/>
      <c r="U77" s="80"/>
      <c r="V77" s="79"/>
      <c r="W77" s="80"/>
    </row>
    <row r="78" spans="1:23" x14ac:dyDescent="0.3">
      <c r="A78" s="31"/>
      <c r="B78" s="93"/>
      <c r="C78" s="18"/>
      <c r="D78" s="39"/>
      <c r="E78" s="39"/>
      <c r="F78" s="20"/>
      <c r="G78" s="17"/>
      <c r="H78" s="19"/>
      <c r="I78" s="19"/>
      <c r="J78" s="34"/>
      <c r="K78" s="22"/>
      <c r="L78" s="23"/>
      <c r="M78" s="24"/>
      <c r="N78" s="79"/>
      <c r="O78" s="80"/>
      <c r="P78" s="79"/>
      <c r="Q78" s="80"/>
      <c r="R78" s="79"/>
      <c r="S78" s="80"/>
      <c r="T78" s="79"/>
      <c r="U78" s="80"/>
      <c r="V78" s="79"/>
      <c r="W78" s="80"/>
    </row>
    <row r="79" spans="1:23" x14ac:dyDescent="0.3">
      <c r="A79" s="31"/>
      <c r="B79" s="93"/>
      <c r="C79" s="18"/>
      <c r="D79" s="39"/>
      <c r="E79" s="39"/>
      <c r="F79" s="20"/>
      <c r="G79" s="17"/>
      <c r="H79" s="19"/>
      <c r="I79" s="19"/>
      <c r="J79" s="34"/>
      <c r="K79" s="22"/>
      <c r="L79" s="23"/>
      <c r="M79" s="24"/>
      <c r="N79" s="79"/>
      <c r="O79" s="80"/>
      <c r="P79" s="79"/>
      <c r="Q79" s="80"/>
      <c r="R79" s="79"/>
      <c r="S79" s="80"/>
      <c r="T79" s="79"/>
      <c r="U79" s="80"/>
      <c r="V79" s="79"/>
      <c r="W79" s="80"/>
    </row>
    <row r="80" spans="1:23" x14ac:dyDescent="0.3">
      <c r="A80" s="31"/>
      <c r="B80" s="93"/>
      <c r="C80" s="18"/>
      <c r="D80" s="39"/>
      <c r="E80" s="39"/>
      <c r="F80" s="20"/>
      <c r="G80" s="17"/>
      <c r="H80" s="19"/>
      <c r="I80" s="19"/>
      <c r="J80" s="34"/>
      <c r="K80" s="22"/>
      <c r="L80" s="23"/>
      <c r="M80" s="24"/>
      <c r="N80" s="79"/>
      <c r="O80" s="80"/>
      <c r="P80" s="79"/>
      <c r="Q80" s="80"/>
      <c r="R80" s="79"/>
      <c r="S80" s="80"/>
      <c r="T80" s="79"/>
      <c r="U80" s="80"/>
      <c r="V80" s="79"/>
      <c r="W80" s="80"/>
    </row>
    <row r="81" spans="1:23" x14ac:dyDescent="0.3">
      <c r="A81" s="31"/>
      <c r="B81" s="93"/>
      <c r="C81" s="18"/>
      <c r="D81" s="39"/>
      <c r="E81" s="39"/>
      <c r="F81" s="20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80"/>
    </row>
    <row r="82" spans="1:23" x14ac:dyDescent="0.3">
      <c r="A82" s="35"/>
      <c r="B82" s="93"/>
      <c r="C82" s="18"/>
      <c r="D82" s="39"/>
      <c r="E82" s="39"/>
      <c r="F82" s="20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80"/>
    </row>
    <row r="83" spans="1:23" x14ac:dyDescent="0.3">
      <c r="A83" s="35"/>
      <c r="B83" s="44"/>
      <c r="C83" s="18"/>
      <c r="D83" s="39"/>
      <c r="E83" s="39"/>
      <c r="F83" s="20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80"/>
    </row>
    <row r="84" spans="1:23" x14ac:dyDescent="0.3">
      <c r="A84" s="35"/>
      <c r="B84" s="93"/>
      <c r="C84" s="18"/>
      <c r="D84" s="39"/>
      <c r="E84" s="39"/>
      <c r="F84" s="20"/>
      <c r="G84" s="17"/>
      <c r="H84" s="19"/>
      <c r="I84" s="19"/>
      <c r="J84" s="34"/>
      <c r="K84" s="22"/>
      <c r="L84" s="23"/>
      <c r="M84" s="24"/>
      <c r="N84" s="79"/>
      <c r="O84" s="80"/>
      <c r="P84" s="79"/>
      <c r="Q84" s="80"/>
      <c r="R84" s="79"/>
      <c r="S84" s="80"/>
      <c r="T84" s="79"/>
      <c r="U84" s="80"/>
      <c r="V84" s="79"/>
      <c r="W84" s="80"/>
    </row>
    <row r="85" spans="1:23" x14ac:dyDescent="0.3">
      <c r="A85" s="35"/>
      <c r="B85" s="93"/>
      <c r="C85" s="18"/>
      <c r="D85" s="39"/>
      <c r="E85" s="39"/>
      <c r="F85" s="20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80"/>
    </row>
    <row r="86" spans="1:23" x14ac:dyDescent="0.3">
      <c r="A86" s="35"/>
      <c r="B86" s="94"/>
      <c r="C86" s="18"/>
      <c r="D86" s="39"/>
      <c r="E86" s="39"/>
      <c r="F86" s="20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80"/>
    </row>
    <row r="87" spans="1:23" x14ac:dyDescent="0.3">
      <c r="A87" s="35"/>
      <c r="B87" s="93"/>
      <c r="C87" s="18"/>
      <c r="D87" s="39"/>
      <c r="E87" s="39"/>
      <c r="F87" s="20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80"/>
    </row>
    <row r="88" spans="1:23" x14ac:dyDescent="0.3">
      <c r="A88" s="35"/>
      <c r="B88" s="93"/>
      <c r="C88" s="18"/>
      <c r="D88" s="39"/>
      <c r="E88" s="39"/>
      <c r="F88" s="20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80"/>
    </row>
    <row r="89" spans="1:23" x14ac:dyDescent="0.3">
      <c r="A89" s="35"/>
      <c r="B89" s="93"/>
      <c r="C89" s="18"/>
      <c r="D89" s="39"/>
      <c r="E89" s="39"/>
      <c r="F89" s="20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80"/>
    </row>
    <row r="90" spans="1:23" x14ac:dyDescent="0.3">
      <c r="A90" s="35"/>
      <c r="B90" s="93"/>
      <c r="C90" s="18"/>
      <c r="D90" s="39"/>
      <c r="E90" s="39"/>
      <c r="F90" s="20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80"/>
    </row>
    <row r="91" spans="1:23" x14ac:dyDescent="0.3">
      <c r="A91" s="31"/>
      <c r="B91" s="93"/>
      <c r="C91" s="18"/>
      <c r="D91" s="39"/>
      <c r="E91" s="39"/>
      <c r="F91" s="20"/>
      <c r="G91" s="17"/>
      <c r="H91" s="19"/>
      <c r="I91" s="19"/>
      <c r="J91" s="34"/>
      <c r="K91" s="22"/>
      <c r="L91" s="23"/>
      <c r="M91" s="24"/>
      <c r="N91" s="79"/>
      <c r="O91" s="80"/>
      <c r="P91" s="79"/>
      <c r="Q91" s="80"/>
      <c r="R91" s="79"/>
      <c r="S91" s="80"/>
      <c r="T91" s="79"/>
      <c r="U91" s="80"/>
      <c r="V91" s="79"/>
      <c r="W91" s="80"/>
    </row>
    <row r="92" spans="1:23" x14ac:dyDescent="0.3">
      <c r="A92" s="31"/>
      <c r="B92" s="93"/>
      <c r="C92" s="18"/>
      <c r="D92" s="39"/>
      <c r="E92" s="39"/>
      <c r="F92" s="20"/>
      <c r="G92" s="17"/>
      <c r="H92" s="19"/>
      <c r="I92" s="19"/>
      <c r="J92" s="34"/>
      <c r="K92" s="22"/>
      <c r="L92" s="23"/>
      <c r="M92" s="24"/>
      <c r="N92" s="79"/>
      <c r="O92" s="80"/>
      <c r="P92" s="79"/>
      <c r="Q92" s="80"/>
      <c r="R92" s="79"/>
      <c r="S92" s="80"/>
      <c r="T92" s="79"/>
      <c r="U92" s="80"/>
      <c r="V92" s="79"/>
      <c r="W92" s="80"/>
    </row>
    <row r="93" spans="1:23" x14ac:dyDescent="0.3">
      <c r="A93" s="35"/>
      <c r="B93" s="95"/>
      <c r="C93" s="18"/>
      <c r="D93" s="39"/>
      <c r="E93" s="39"/>
      <c r="F93" s="20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80"/>
    </row>
    <row r="94" spans="1:23" x14ac:dyDescent="0.3">
      <c r="A94" s="35"/>
      <c r="B94" s="93"/>
      <c r="C94" s="18"/>
      <c r="D94" s="39"/>
      <c r="E94" s="39"/>
      <c r="F94" s="20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80"/>
    </row>
    <row r="95" spans="1:23" x14ac:dyDescent="0.3">
      <c r="A95" s="35"/>
      <c r="B95" s="93"/>
      <c r="C95" s="18"/>
      <c r="D95" s="39"/>
      <c r="E95" s="39"/>
      <c r="F95" s="20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80"/>
    </row>
    <row r="96" spans="1:23" x14ac:dyDescent="0.3">
      <c r="A96" s="31"/>
      <c r="B96" s="93"/>
      <c r="C96" s="18"/>
      <c r="D96" s="39"/>
      <c r="E96" s="39"/>
      <c r="F96" s="20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80"/>
    </row>
    <row r="97" spans="1:23" x14ac:dyDescent="0.3">
      <c r="A97" s="31"/>
      <c r="B97" s="93"/>
      <c r="C97" s="18"/>
      <c r="D97" s="39"/>
      <c r="E97" s="39"/>
      <c r="F97" s="20"/>
      <c r="G97" s="17"/>
      <c r="H97" s="19"/>
      <c r="I97" s="19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80"/>
    </row>
    <row r="98" spans="1:23" x14ac:dyDescent="0.3">
      <c r="A98" s="31"/>
      <c r="B98" s="93"/>
      <c r="C98" s="18"/>
      <c r="D98" s="39"/>
      <c r="E98" s="39"/>
      <c r="F98" s="20"/>
      <c r="G98" s="17"/>
      <c r="H98" s="19"/>
      <c r="I98" s="19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80"/>
    </row>
    <row r="99" spans="1:23" x14ac:dyDescent="0.3">
      <c r="A99" s="31"/>
      <c r="B99" s="93"/>
      <c r="C99" s="18"/>
      <c r="D99" s="39"/>
      <c r="E99" s="39"/>
      <c r="F99" s="20"/>
      <c r="G99" s="17"/>
      <c r="H99" s="19"/>
      <c r="I99" s="19"/>
      <c r="J99" s="34"/>
      <c r="K99" s="22"/>
      <c r="L99" s="23"/>
      <c r="M99" s="24"/>
      <c r="N99" s="79"/>
      <c r="O99" s="80"/>
      <c r="P99" s="79"/>
      <c r="Q99" s="80"/>
      <c r="R99" s="79"/>
      <c r="S99" s="80"/>
      <c r="T99" s="79"/>
      <c r="U99" s="80"/>
      <c r="V99" s="79"/>
      <c r="W99" s="80"/>
    </row>
    <row r="100" spans="1:23" x14ac:dyDescent="0.3">
      <c r="A100" s="31"/>
      <c r="B100" s="93"/>
      <c r="C100" s="18"/>
      <c r="D100" s="39"/>
      <c r="E100" s="39"/>
      <c r="F100" s="20"/>
      <c r="G100" s="17"/>
      <c r="H100" s="19"/>
      <c r="I100" s="19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80"/>
    </row>
    <row r="101" spans="1:23" x14ac:dyDescent="0.3">
      <c r="A101" s="31"/>
      <c r="B101" s="93"/>
      <c r="C101" s="18"/>
      <c r="D101" s="39"/>
      <c r="E101" s="39"/>
      <c r="F101" s="20"/>
      <c r="G101" s="17"/>
      <c r="H101" s="19"/>
      <c r="I101" s="19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80"/>
    </row>
    <row r="102" spans="1:23" x14ac:dyDescent="0.3">
      <c r="A102" s="31"/>
      <c r="B102" s="43"/>
      <c r="C102" s="18"/>
      <c r="D102" s="39"/>
      <c r="E102" s="39"/>
      <c r="F102" s="20"/>
      <c r="G102" s="17"/>
      <c r="H102" s="19"/>
      <c r="I102" s="19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80"/>
    </row>
    <row r="103" spans="1:23" x14ac:dyDescent="0.3">
      <c r="A103" s="31"/>
      <c r="B103" s="93"/>
      <c r="C103" s="18"/>
      <c r="D103" s="39"/>
      <c r="E103" s="39"/>
      <c r="F103" s="20"/>
      <c r="G103" s="17"/>
      <c r="H103" s="19"/>
      <c r="I103" s="19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80"/>
    </row>
    <row r="104" spans="1:23" x14ac:dyDescent="0.3">
      <c r="A104" s="31"/>
      <c r="B104" s="93"/>
      <c r="C104" s="18"/>
      <c r="D104" s="39"/>
      <c r="E104" s="39"/>
      <c r="F104" s="20"/>
      <c r="G104" s="17"/>
      <c r="H104" s="19"/>
      <c r="I104" s="19"/>
      <c r="J104" s="34"/>
      <c r="K104" s="22"/>
      <c r="L104" s="23"/>
      <c r="M104" s="24"/>
      <c r="N104" s="79"/>
      <c r="O104" s="80"/>
      <c r="P104" s="79"/>
      <c r="Q104" s="80"/>
      <c r="R104" s="79"/>
      <c r="S104" s="80"/>
      <c r="T104" s="79"/>
      <c r="U104" s="80"/>
      <c r="V104" s="79"/>
      <c r="W104" s="80"/>
    </row>
    <row r="105" spans="1:23" x14ac:dyDescent="0.3">
      <c r="A105" s="31"/>
      <c r="B105" s="93"/>
      <c r="C105" s="18"/>
      <c r="D105" s="39"/>
      <c r="E105" s="39"/>
      <c r="F105" s="20"/>
      <c r="G105" s="17"/>
      <c r="H105" s="19"/>
      <c r="I105" s="19"/>
      <c r="J105" s="34"/>
      <c r="K105" s="22"/>
      <c r="L105" s="23"/>
      <c r="M105" s="24"/>
      <c r="N105" s="79"/>
      <c r="O105" s="80"/>
      <c r="P105" s="79"/>
      <c r="Q105" s="80"/>
      <c r="R105" s="79"/>
      <c r="S105" s="80"/>
      <c r="T105" s="79"/>
      <c r="U105" s="80"/>
      <c r="V105" s="79"/>
      <c r="W105" s="80"/>
    </row>
    <row r="106" spans="1:23" x14ac:dyDescent="0.3">
      <c r="A106" s="31"/>
      <c r="B106" s="93"/>
      <c r="C106" s="18"/>
      <c r="D106" s="39"/>
      <c r="E106" s="39"/>
      <c r="F106" s="20"/>
      <c r="G106" s="17"/>
      <c r="H106" s="19"/>
      <c r="I106" s="19"/>
      <c r="J106" s="34"/>
      <c r="K106" s="22"/>
      <c r="L106" s="23"/>
      <c r="M106" s="24"/>
      <c r="N106" s="79"/>
      <c r="O106" s="80"/>
      <c r="P106" s="79"/>
      <c r="Q106" s="80"/>
      <c r="R106" s="79"/>
      <c r="S106" s="80"/>
      <c r="T106" s="79"/>
      <c r="U106" s="80"/>
      <c r="V106" s="79"/>
      <c r="W106" s="80"/>
    </row>
    <row r="107" spans="1:23" x14ac:dyDescent="0.3">
      <c r="A107" s="31"/>
      <c r="B107" s="93"/>
      <c r="C107" s="18"/>
      <c r="D107" s="39"/>
      <c r="E107" s="39"/>
      <c r="F107" s="20"/>
      <c r="G107" s="17"/>
      <c r="H107" s="19"/>
      <c r="I107" s="19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80"/>
    </row>
    <row r="108" spans="1:23" x14ac:dyDescent="0.3">
      <c r="A108" s="31"/>
      <c r="B108" s="93"/>
      <c r="C108" s="18"/>
      <c r="D108" s="39"/>
      <c r="E108" s="39"/>
      <c r="F108" s="20"/>
      <c r="G108" s="17"/>
      <c r="H108" s="19"/>
      <c r="I108" s="19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80"/>
    </row>
    <row r="109" spans="1:23" x14ac:dyDescent="0.3">
      <c r="A109" s="31"/>
      <c r="B109" s="93"/>
      <c r="C109" s="18"/>
      <c r="D109" s="39"/>
      <c r="E109" s="39"/>
      <c r="F109" s="20"/>
      <c r="G109" s="17"/>
      <c r="H109" s="19"/>
      <c r="I109" s="19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80"/>
    </row>
    <row r="110" spans="1:23" x14ac:dyDescent="0.3">
      <c r="A110" s="31"/>
      <c r="B110" s="93"/>
      <c r="C110" s="18"/>
      <c r="D110" s="39"/>
      <c r="E110" s="39"/>
      <c r="F110" s="20"/>
      <c r="G110" s="17"/>
      <c r="H110" s="19"/>
      <c r="I110" s="19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80"/>
    </row>
    <row r="111" spans="1:23" x14ac:dyDescent="0.3">
      <c r="A111" s="31"/>
      <c r="B111" s="93"/>
      <c r="C111" s="18"/>
      <c r="D111" s="39"/>
      <c r="E111" s="39"/>
      <c r="F111" s="20"/>
      <c r="G111" s="17"/>
      <c r="H111" s="19"/>
      <c r="I111" s="19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80"/>
    </row>
    <row r="112" spans="1:23" x14ac:dyDescent="0.3">
      <c r="A112" s="31"/>
      <c r="B112" s="43"/>
      <c r="C112" s="18"/>
      <c r="D112" s="39"/>
      <c r="E112" s="39"/>
      <c r="F112" s="20"/>
      <c r="G112" s="17"/>
      <c r="H112" s="19"/>
      <c r="I112" s="19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80"/>
    </row>
    <row r="113" spans="1:23" x14ac:dyDescent="0.3">
      <c r="A113" s="31"/>
      <c r="B113" s="93"/>
      <c r="C113" s="18"/>
      <c r="D113" s="39"/>
      <c r="E113" s="39"/>
      <c r="F113" s="20"/>
      <c r="G113" s="17"/>
      <c r="H113" s="19"/>
      <c r="I113" s="19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80"/>
    </row>
    <row r="114" spans="1:23" x14ac:dyDescent="0.3">
      <c r="A114" s="31"/>
      <c r="B114" s="93"/>
      <c r="C114" s="18"/>
      <c r="D114" s="39"/>
      <c r="E114" s="39"/>
      <c r="F114" s="20"/>
      <c r="G114" s="17"/>
      <c r="H114" s="19"/>
      <c r="I114" s="19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80"/>
    </row>
    <row r="115" spans="1:23" x14ac:dyDescent="0.3">
      <c r="A115" s="31"/>
      <c r="B115" s="93"/>
      <c r="C115" s="18"/>
      <c r="D115" s="39"/>
      <c r="E115" s="39"/>
      <c r="F115" s="20"/>
      <c r="G115" s="17"/>
      <c r="H115" s="19"/>
      <c r="I115" s="19"/>
      <c r="J115" s="34"/>
      <c r="K115" s="22"/>
      <c r="L115" s="23"/>
      <c r="M115" s="24"/>
      <c r="N115" s="79"/>
      <c r="O115" s="80"/>
      <c r="P115" s="79"/>
      <c r="Q115" s="80"/>
      <c r="R115" s="79"/>
      <c r="S115" s="80"/>
      <c r="T115" s="79"/>
      <c r="U115" s="80"/>
      <c r="V115" s="79"/>
      <c r="W115" s="80"/>
    </row>
    <row r="116" spans="1:23" x14ac:dyDescent="0.3">
      <c r="A116" s="31"/>
      <c r="B116" s="93"/>
      <c r="C116" s="18"/>
      <c r="D116" s="39"/>
      <c r="E116" s="39"/>
      <c r="F116" s="20"/>
      <c r="G116" s="17"/>
      <c r="H116" s="19"/>
      <c r="I116" s="19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80"/>
    </row>
    <row r="117" spans="1:23" x14ac:dyDescent="0.3">
      <c r="A117" s="31"/>
      <c r="B117" s="43"/>
      <c r="C117" s="18"/>
      <c r="D117" s="39"/>
      <c r="E117" s="39"/>
      <c r="F117" s="20"/>
      <c r="G117" s="17"/>
      <c r="H117" s="19"/>
      <c r="I117" s="19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80"/>
    </row>
    <row r="118" spans="1:23" x14ac:dyDescent="0.3">
      <c r="A118" s="31"/>
      <c r="B118" s="93"/>
      <c r="C118" s="18"/>
      <c r="D118" s="39"/>
      <c r="E118" s="39"/>
      <c r="F118" s="20"/>
      <c r="G118" s="17"/>
      <c r="H118" s="19"/>
      <c r="I118" s="19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80"/>
    </row>
    <row r="119" spans="1:23" x14ac:dyDescent="0.3">
      <c r="A119" s="31"/>
      <c r="B119" s="96"/>
      <c r="C119" s="18"/>
      <c r="D119" s="39"/>
      <c r="E119" s="39"/>
      <c r="F119" s="20"/>
      <c r="G119" s="17"/>
      <c r="H119" s="19"/>
      <c r="I119" s="19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80"/>
    </row>
    <row r="120" spans="1:23" x14ac:dyDescent="0.3">
      <c r="A120" s="31"/>
      <c r="B120" s="43"/>
      <c r="C120" s="18"/>
      <c r="D120" s="39"/>
      <c r="E120" s="39"/>
      <c r="F120" s="20"/>
      <c r="G120" s="17"/>
      <c r="H120" s="19"/>
      <c r="I120" s="19"/>
      <c r="J120" s="34"/>
      <c r="K120" s="22"/>
      <c r="L120" s="23"/>
      <c r="M120" s="24"/>
      <c r="N120" s="79"/>
      <c r="O120" s="80"/>
      <c r="P120" s="79"/>
      <c r="Q120" s="80"/>
      <c r="R120" s="79"/>
      <c r="S120" s="80"/>
      <c r="T120" s="79"/>
      <c r="U120" s="80"/>
      <c r="V120" s="79"/>
      <c r="W120" s="80"/>
    </row>
    <row r="121" spans="1:23" x14ac:dyDescent="0.3">
      <c r="A121" s="31"/>
      <c r="B121" s="43"/>
      <c r="C121" s="18"/>
      <c r="D121" s="39"/>
      <c r="E121" s="39"/>
      <c r="F121" s="20"/>
      <c r="G121" s="17"/>
      <c r="H121" s="19"/>
      <c r="I121" s="19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80"/>
    </row>
    <row r="122" spans="1:23" x14ac:dyDescent="0.3">
      <c r="A122" s="31"/>
      <c r="B122" s="144"/>
      <c r="C122" s="18"/>
      <c r="D122" s="39"/>
      <c r="E122" s="39"/>
      <c r="F122" s="20"/>
      <c r="G122" s="17"/>
      <c r="H122" s="60"/>
      <c r="I122" s="19"/>
      <c r="J122" s="34"/>
      <c r="K122" s="22"/>
      <c r="L122" s="23"/>
      <c r="M122" s="24"/>
      <c r="N122" s="79"/>
      <c r="O122" s="80"/>
      <c r="P122" s="79"/>
      <c r="Q122" s="80"/>
      <c r="R122" s="79"/>
      <c r="S122" s="80"/>
      <c r="T122" s="79"/>
      <c r="U122" s="80"/>
      <c r="V122" s="79"/>
      <c r="W122" s="80"/>
    </row>
    <row r="123" spans="1:23" x14ac:dyDescent="0.3">
      <c r="A123" s="31"/>
      <c r="B123" s="93"/>
      <c r="C123" s="18"/>
      <c r="D123" s="39"/>
      <c r="E123" s="39"/>
      <c r="F123" s="20"/>
      <c r="G123" s="17"/>
      <c r="H123" s="60"/>
      <c r="I123" s="19"/>
      <c r="J123" s="34"/>
      <c r="K123" s="22"/>
      <c r="L123" s="23"/>
      <c r="M123" s="24"/>
      <c r="N123" s="79"/>
      <c r="O123" s="80"/>
      <c r="P123" s="79"/>
      <c r="Q123" s="80"/>
      <c r="R123" s="79"/>
      <c r="S123" s="80"/>
      <c r="T123" s="79"/>
      <c r="U123" s="80"/>
      <c r="V123" s="79"/>
      <c r="W123" s="80"/>
    </row>
    <row r="124" spans="1:23" x14ac:dyDescent="0.3">
      <c r="A124" s="31"/>
      <c r="B124" s="93"/>
      <c r="C124" s="18"/>
      <c r="D124" s="39"/>
      <c r="E124" s="39"/>
      <c r="F124" s="20"/>
      <c r="G124" s="17"/>
      <c r="H124" s="60"/>
      <c r="I124" s="19"/>
      <c r="J124" s="34"/>
      <c r="K124" s="22"/>
      <c r="L124" s="23"/>
      <c r="M124" s="24"/>
      <c r="N124" s="79"/>
      <c r="O124" s="80"/>
      <c r="P124" s="79"/>
      <c r="Q124" s="80"/>
      <c r="R124" s="79"/>
      <c r="S124" s="80"/>
      <c r="T124" s="79"/>
      <c r="U124" s="80"/>
      <c r="V124" s="79"/>
      <c r="W124" s="80"/>
    </row>
    <row r="125" spans="1:23" x14ac:dyDescent="0.3">
      <c r="F125" s="59"/>
      <c r="G125" s="37"/>
      <c r="H125" s="60"/>
    </row>
  </sheetData>
  <conditionalFormatting sqref="G2:G124">
    <cfRule type="cellIs" dxfId="11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A38E-A882-4D66-8943-69B324EA446D}">
  <sheetPr codeName="Sheet7">
    <tabColor rgb="FF0070C0"/>
  </sheetPr>
  <dimension ref="A1:AMJ126"/>
  <sheetViews>
    <sheetView zoomScale="80" zoomScaleNormal="80" workbookViewId="0">
      <pane xSplit="11" ySplit="1" topLeftCell="L2" activePane="bottomRight" state="frozen"/>
      <selection activeCell="D82" sqref="D82"/>
      <selection pane="topRight" activeCell="D82" sqref="D82"/>
      <selection pane="bottomLeft" activeCell="D82" sqref="D82"/>
      <selection pane="bottomRight" activeCell="V2" sqref="V2"/>
    </sheetView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7.6640625" style="16" bestFit="1" customWidth="1"/>
    <col min="5" max="5" width="16.109375" style="16" bestFit="1" customWidth="1"/>
    <col min="6" max="6" width="8.109375" style="16" customWidth="1"/>
    <col min="7" max="7" width="6.6640625" style="16" customWidth="1"/>
    <col min="8" max="8" width="7.109375" style="16" hidden="1" customWidth="1"/>
    <col min="9" max="9" width="9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 t="shared" ref="A2:A8" si="0">RANK(K2,K$2:K$141,0)</f>
        <v>1</v>
      </c>
      <c r="B2" s="88">
        <v>1637</v>
      </c>
      <c r="C2" s="89">
        <f>_xlfn.XLOOKUP(__xlnm._FilterDatabase_15717[[#This Row],[SAPSA Number]],Table1[SAPSA number],Table1[Paid up])</f>
        <v>0</v>
      </c>
      <c r="D2" s="39" t="str">
        <f>_xlfn.XLOOKUP(__xlnm._FilterDatabase_15717[[#This Row],[SAPSA Number]],Table1[SAPSA number],Table1[Name])</f>
        <v>Andre Johann Pieter</v>
      </c>
      <c r="E2" s="39" t="str">
        <f>_xlfn.XLOOKUP(__xlnm._FilterDatabase_15717[[#This Row],[SAPSA Number]],Table1[SAPSA number],Table1[Surname])</f>
        <v>Mouton</v>
      </c>
      <c r="F2" s="20" t="str">
        <f>_xlfn.XLOOKUP(__xlnm._FilterDatabase_15717[[#This Row],[SAPSA Number]],Table1[SAPSA number],Table1[Initials])</f>
        <v>AJP</v>
      </c>
      <c r="G2" s="17" t="str">
        <f ca="1">_xlfn.XLOOKUP(__xlnm._FilterDatabase_15717[[#This Row],[SAPSA Number]],Table1[SAPSA number],Table1[Gender])</f>
        <v>GS</v>
      </c>
      <c r="H2" s="19" t="e">
        <f>_xlfn.XLOOKUP(__xlnm._FilterDatabase_15717[[#This Row],[SAPSA Number]],#REF!,#REF!)</f>
        <v>#REF!</v>
      </c>
      <c r="I2" s="19" t="s">
        <v>242</v>
      </c>
      <c r="J2" s="21">
        <f t="shared" ref="J2:J33" si="1">(IF(L2&gt;0,1,0)+(IF(M2&gt;0,1,0))+(IF(N2&gt;0,1,0))+(IF(O2&gt;0,1,0))+(IF(P2&gt;0,1,0))+(IF(Q2&gt;0,1,0))+(IF(R2&gt;0,1,0))+(IF(S2&gt;0,1,0))+(IF(T2&gt;0,1,0))+(IF(U2&gt;0,1,0))+(IF(V2&gt;0,1,0))+(IF(W2&gt;0,1,0)))</f>
        <v>7</v>
      </c>
      <c r="K2" s="22">
        <f t="shared" ref="K2:K33" si="2">(LARGE(L2:W2,1)+LARGE(L2:W2,2)+LARGE(L2:W2,3)+LARGE(L2:W2,4)+LARGE(L2:W2,5))/5</f>
        <v>100</v>
      </c>
      <c r="L2" s="23">
        <v>0</v>
      </c>
      <c r="M2" s="24">
        <v>100</v>
      </c>
      <c r="N2" s="23">
        <v>100</v>
      </c>
      <c r="O2" s="24">
        <v>100</v>
      </c>
      <c r="P2" s="23">
        <v>100</v>
      </c>
      <c r="Q2" s="24">
        <v>68.183000000000007</v>
      </c>
      <c r="R2" s="23">
        <v>0</v>
      </c>
      <c r="S2" s="24">
        <v>100</v>
      </c>
      <c r="T2" s="23">
        <v>0</v>
      </c>
      <c r="U2" s="24">
        <v>100</v>
      </c>
      <c r="V2" s="23">
        <v>0</v>
      </c>
      <c r="W2" s="24">
        <v>0</v>
      </c>
    </row>
    <row r="3" spans="1:23" ht="14.4" customHeight="1" x14ac:dyDescent="0.3">
      <c r="A3" s="17">
        <f t="shared" si="0"/>
        <v>2</v>
      </c>
      <c r="B3" s="89">
        <v>896</v>
      </c>
      <c r="C3" s="89" t="str">
        <f>_xlfn.XLOOKUP(__xlnm._FilterDatabase_15717[[#This Row],[SAPSA Number]],Table1[SAPSA number],Table1[Paid up])</f>
        <v>Y</v>
      </c>
      <c r="D3" s="39" t="str">
        <f>_xlfn.XLOOKUP(__xlnm._FilterDatabase_15717[[#This Row],[SAPSA Number]],Table1[SAPSA number],Table1[Name])</f>
        <v>Johannes Francois</v>
      </c>
      <c r="E3" s="39" t="str">
        <f>_xlfn.XLOOKUP(__xlnm._FilterDatabase_15717[[#This Row],[SAPSA Number]],Table1[SAPSA number],Table1[Surname])</f>
        <v>Wheeler</v>
      </c>
      <c r="F3" s="20" t="str">
        <f>_xlfn.XLOOKUP(__xlnm._FilterDatabase_15717[[#This Row],[SAPSA Number]],Table1[SAPSA number],Table1[Initials])</f>
        <v>JF</v>
      </c>
      <c r="G3" s="17" t="str">
        <f ca="1">_xlfn.XLOOKUP(__xlnm._FilterDatabase_15717[[#This Row],[SAPSA Number]],Table1[SAPSA number],Table1[Gender])</f>
        <v xml:space="preserve"> </v>
      </c>
      <c r="H3" s="19">
        <f ca="1">_xlfn.XLOOKUP(__xlnm._FilterDatabase_1[[#This Row],[SAPSA Number]],Table1[SAPSA number],Table1[Age])</f>
        <v>68</v>
      </c>
      <c r="I3" s="19" t="s">
        <v>242</v>
      </c>
      <c r="J3" s="21">
        <f t="shared" si="1"/>
        <v>1</v>
      </c>
      <c r="K3" s="22">
        <f t="shared" si="2"/>
        <v>20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100</v>
      </c>
    </row>
    <row r="4" spans="1:23" ht="14.4" customHeight="1" x14ac:dyDescent="0.3">
      <c r="A4" s="17">
        <f t="shared" si="0"/>
        <v>2</v>
      </c>
      <c r="B4" s="88">
        <v>5616</v>
      </c>
      <c r="C4" s="89">
        <f>_xlfn.XLOOKUP(__xlnm._FilterDatabase_15717[[#This Row],[SAPSA Number]],Table1[SAPSA number],Table1[Paid up])</f>
        <v>0</v>
      </c>
      <c r="D4" s="39" t="str">
        <f>_xlfn.XLOOKUP(__xlnm._FilterDatabase_15717[[#This Row],[SAPSA Number]],Table1[SAPSA number],Table1[Name])</f>
        <v>Cornelis Herman</v>
      </c>
      <c r="E4" s="39" t="str">
        <f>_xlfn.XLOOKUP(__xlnm._FilterDatabase_15717[[#This Row],[SAPSA Number]],Table1[SAPSA number],Table1[Surname])</f>
        <v>van Driel</v>
      </c>
      <c r="F4" s="20" t="str">
        <f>_xlfn.XLOOKUP(__xlnm._FilterDatabase_15717[[#This Row],[SAPSA Number]],Table1[SAPSA number],Table1[Initials])</f>
        <v>CH</v>
      </c>
      <c r="G4" s="17" t="str">
        <f ca="1">_xlfn.XLOOKUP(__xlnm._FilterDatabase_15717[[#This Row],[SAPSA Number]],Table1[SAPSA number],Table1[Gender])</f>
        <v xml:space="preserve"> </v>
      </c>
      <c r="H4" s="19" t="e">
        <f>_xlfn.XLOOKUP(__xlnm._FilterDatabase_15717[[#This Row],[SAPSA Number]],#REF!,#REF!)</f>
        <v>#REF!</v>
      </c>
      <c r="I4" s="19" t="s">
        <v>242</v>
      </c>
      <c r="J4" s="21">
        <f t="shared" si="1"/>
        <v>1</v>
      </c>
      <c r="K4" s="22">
        <f t="shared" si="2"/>
        <v>20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100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 t="shared" si="0"/>
        <v>4</v>
      </c>
      <c r="B5" s="88">
        <v>1471</v>
      </c>
      <c r="C5" s="89" t="str">
        <f>_xlfn.XLOOKUP(__xlnm._FilterDatabase_15717[[#This Row],[SAPSA Number]],Table1[SAPSA number],Table1[Paid up])</f>
        <v>Y</v>
      </c>
      <c r="D5" s="39" t="str">
        <f>_xlfn.XLOOKUP(__xlnm._FilterDatabase_15717[[#This Row],[SAPSA Number]],Table1[SAPSA number],Table1[Name])</f>
        <v>Nikolaus Phillip Karl</v>
      </c>
      <c r="E5" s="39" t="str">
        <f>_xlfn.XLOOKUP(__xlnm._FilterDatabase_15717[[#This Row],[SAPSA Number]],Table1[SAPSA number],Table1[Surname])</f>
        <v>Bernhard</v>
      </c>
      <c r="F5" s="20" t="str">
        <f>_xlfn.XLOOKUP(__xlnm._FilterDatabase_15717[[#This Row],[SAPSA Number]],Table1[SAPSA number],Table1[Initials])</f>
        <v>NPK</v>
      </c>
      <c r="G5" s="17" t="str">
        <f ca="1">_xlfn.XLOOKUP(__xlnm._FilterDatabase_15717[[#This Row],[SAPSA Number]],Table1[SAPSA number],Table1[Gender])</f>
        <v xml:space="preserve"> </v>
      </c>
      <c r="H5" s="19" t="e">
        <f>_xlfn.XLOOKUP(__xlnm._FilterDatabase_15717[[#This Row],[SAPSA Number]],#REF!,#REF!)</f>
        <v>#REF!</v>
      </c>
      <c r="I5" s="19" t="s">
        <v>242</v>
      </c>
      <c r="J5" s="21">
        <f t="shared" si="1"/>
        <v>0</v>
      </c>
      <c r="K5" s="22">
        <f t="shared" si="2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 t="shared" si="0"/>
        <v>4</v>
      </c>
      <c r="B6" s="88">
        <v>4624</v>
      </c>
      <c r="C6" s="89" t="str">
        <f>_xlfn.XLOOKUP(__xlnm._FilterDatabase_15717[[#This Row],[SAPSA Number]],Table1[SAPSA number],Table1[Paid up])</f>
        <v>Y</v>
      </c>
      <c r="D6" s="39" t="str">
        <f>_xlfn.XLOOKUP(__xlnm._FilterDatabase_15717[[#This Row],[SAPSA Number]],Table1[SAPSA number],Table1[Name])</f>
        <v>Stephanus Christiaan</v>
      </c>
      <c r="E6" s="39" t="str">
        <f>_xlfn.XLOOKUP(__xlnm._FilterDatabase_15717[[#This Row],[SAPSA Number]],Table1[SAPSA number],Table1[Surname])</f>
        <v>Bester</v>
      </c>
      <c r="F6" s="20" t="str">
        <f>_xlfn.XLOOKUP(__xlnm._FilterDatabase_15717[[#This Row],[SAPSA Number]],Table1[SAPSA number],Table1[Initials])</f>
        <v>SC</v>
      </c>
      <c r="G6" s="17" t="str">
        <f ca="1">_xlfn.XLOOKUP(__xlnm._FilterDatabase_15717[[#This Row],[SAPSA Number]],Table1[SAPSA number],Table1[Gender])</f>
        <v>S</v>
      </c>
      <c r="H6" s="19" t="e">
        <f>_xlfn.XLOOKUP(__xlnm._FilterDatabase_15717[[#This Row],[SAPSA Number]],#REF!,#REF!)</f>
        <v>#REF!</v>
      </c>
      <c r="I6" s="19" t="s">
        <v>242</v>
      </c>
      <c r="J6" s="21">
        <f t="shared" si="1"/>
        <v>0</v>
      </c>
      <c r="K6" s="22">
        <f t="shared" si="2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 t="shared" si="0"/>
        <v>4</v>
      </c>
      <c r="B7" s="88">
        <v>7431</v>
      </c>
      <c r="C7" s="89">
        <f>_xlfn.XLOOKUP(__xlnm._FilterDatabase_15717[[#This Row],[SAPSA Number]],Table1[SAPSA number],Table1[Paid up])</f>
        <v>0</v>
      </c>
      <c r="D7" s="39" t="str">
        <f>_xlfn.XLOOKUP(__xlnm._FilterDatabase_15717[[#This Row],[SAPSA Number]],Table1[SAPSA number],Table1[Name])</f>
        <v>Anton</v>
      </c>
      <c r="E7" s="39" t="str">
        <f>_xlfn.XLOOKUP(__xlnm._FilterDatabase_15717[[#This Row],[SAPSA Number]],Table1[SAPSA number],Table1[Surname])</f>
        <v>Booyse</v>
      </c>
      <c r="F7" s="20" t="str">
        <f>_xlfn.XLOOKUP(__xlnm._FilterDatabase_15717[[#This Row],[SAPSA Number]],Table1[SAPSA number],Table1[Initials])</f>
        <v>A</v>
      </c>
      <c r="G7" s="17">
        <f>_xlfn.XLOOKUP(__xlnm._FilterDatabase_15717[[#This Row],[SAPSA Number]],Table1[SAPSA number],Table1[Gender])</f>
        <v>0</v>
      </c>
      <c r="H7" s="19" t="e">
        <f>_xlfn.XLOOKUP(__xlnm._FilterDatabase_15717[[#This Row],[SAPSA Number]],#REF!,#REF!)</f>
        <v>#REF!</v>
      </c>
      <c r="I7" s="19" t="s">
        <v>242</v>
      </c>
      <c r="J7" s="21">
        <f t="shared" si="1"/>
        <v>0</v>
      </c>
      <c r="K7" s="22">
        <f t="shared" si="2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 t="shared" si="0"/>
        <v>4</v>
      </c>
      <c r="B8" s="88">
        <v>3349</v>
      </c>
      <c r="C8" s="89">
        <f>_xlfn.XLOOKUP(__xlnm._FilterDatabase_15717[[#This Row],[SAPSA Number]],Table1[SAPSA number],Table1[Paid up])</f>
        <v>0</v>
      </c>
      <c r="D8" s="39" t="str">
        <f>_xlfn.XLOOKUP(__xlnm._FilterDatabase_15717[[#This Row],[SAPSA Number]],Table1[SAPSA number],Table1[Name])</f>
        <v>Stefanus Christiaan</v>
      </c>
      <c r="E8" s="39" t="str">
        <f>_xlfn.XLOOKUP(__xlnm._FilterDatabase_15717[[#This Row],[SAPSA Number]],Table1[SAPSA number],Table1[Surname])</f>
        <v>Bosch</v>
      </c>
      <c r="F8" s="20" t="str">
        <f>_xlfn.XLOOKUP(__xlnm._FilterDatabase_15717[[#This Row],[SAPSA Number]],Table1[SAPSA number],Table1[Initials])</f>
        <v>SC</v>
      </c>
      <c r="G8" s="17" t="str">
        <f ca="1">_xlfn.XLOOKUP(__xlnm._FilterDatabase_15717[[#This Row],[SAPSA Number]],Table1[SAPSA number],Table1[Gender])</f>
        <v>S</v>
      </c>
      <c r="H8" s="19" t="e">
        <f>_xlfn.XLOOKUP(__xlnm._FilterDatabase_15717[[#This Row],[SAPSA Number]],#REF!,#REF!)</f>
        <v>#REF!</v>
      </c>
      <c r="I8" s="19" t="s">
        <v>242</v>
      </c>
      <c r="J8" s="21">
        <f t="shared" si="1"/>
        <v>0</v>
      </c>
      <c r="K8" s="22">
        <f t="shared" si="2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>RANK(K9,K$2:K$160,0)</f>
        <v>4</v>
      </c>
      <c r="B9" s="18">
        <v>4621</v>
      </c>
      <c r="C9" s="89">
        <f>_xlfn.XLOOKUP(__xlnm._FilterDatabase_15717[[#This Row],[SAPSA Number]],Table1[SAPSA number],Table1[Paid up])</f>
        <v>0</v>
      </c>
      <c r="D9" s="39" t="str">
        <f>_xlfn.XLOOKUP(__xlnm._FilterDatabase_15717[[#This Row],[SAPSA Number]],Table1[SAPSA number],Table1[Name])</f>
        <v>Colin</v>
      </c>
      <c r="E9" s="39" t="str">
        <f>_xlfn.XLOOKUP(__xlnm._FilterDatabase_15717[[#This Row],[SAPSA Number]],Table1[SAPSA number],Table1[Surname])</f>
        <v>Bowring</v>
      </c>
      <c r="F9" s="20" t="str">
        <f>_xlfn.XLOOKUP(__xlnm._FilterDatabase_15717[[#This Row],[SAPSA Number]],Table1[SAPSA number],Table1[Initials])</f>
        <v>C</v>
      </c>
      <c r="G9" s="17" t="str">
        <f ca="1">_xlfn.XLOOKUP(__xlnm._FilterDatabase_15717[[#This Row],[SAPSA Number]],Table1[SAPSA number],Table1[Gender])</f>
        <v>SS</v>
      </c>
      <c r="H9" s="19" t="e">
        <f>_xlfn.XLOOKUP(__xlnm._FilterDatabase_15717[[#This Row],[SAPSA Number]],#REF!,#REF!)</f>
        <v>#REF!</v>
      </c>
      <c r="I9" s="19" t="s">
        <v>242</v>
      </c>
      <c r="J9" s="21">
        <f t="shared" si="1"/>
        <v>0</v>
      </c>
      <c r="K9" s="22">
        <f t="shared" si="2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ref="A10:A41" si="3">RANK(K10,K$2:K$141,0)</f>
        <v>4</v>
      </c>
      <c r="B10" s="18">
        <v>3338</v>
      </c>
      <c r="C10" s="89">
        <f>_xlfn.XLOOKUP(__xlnm._FilterDatabase_15717[[#This Row],[SAPSA Number]],Table1[SAPSA number],Table1[Paid up])</f>
        <v>0</v>
      </c>
      <c r="D10" s="39" t="str">
        <f>_xlfn.XLOOKUP(__xlnm._FilterDatabase_15717[[#This Row],[SAPSA Number]],Table1[SAPSA number],Table1[Name])</f>
        <v>Carl Johann</v>
      </c>
      <c r="E10" s="39" t="str">
        <f>_xlfn.XLOOKUP(__xlnm._FilterDatabase_15717[[#This Row],[SAPSA Number]],Table1[SAPSA number],Table1[Surname])</f>
        <v>Brandt</v>
      </c>
      <c r="F10" s="20" t="str">
        <f>_xlfn.XLOOKUP(__xlnm._FilterDatabase_15717[[#This Row],[SAPSA Number]],Table1[SAPSA number],Table1[Initials])</f>
        <v>CJ</v>
      </c>
      <c r="G10" s="17" t="str">
        <f ca="1">_xlfn.XLOOKUP(__xlnm._FilterDatabase_15717[[#This Row],[SAPSA Number]],Table1[SAPSA number],Table1[Gender])</f>
        <v>S</v>
      </c>
      <c r="H10" s="19" t="e">
        <f>_xlfn.XLOOKUP(__xlnm._FilterDatabase_15717[[#This Row],[SAPSA Number]],#REF!,#REF!)</f>
        <v>#REF!</v>
      </c>
      <c r="I10" s="19" t="s">
        <v>242</v>
      </c>
      <c r="J10" s="21">
        <f t="shared" si="1"/>
        <v>0</v>
      </c>
      <c r="K10" s="22">
        <f t="shared" si="2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3"/>
        <v>4</v>
      </c>
      <c r="B11" s="88">
        <v>3350</v>
      </c>
      <c r="C11" s="89">
        <f>_xlfn.XLOOKUP(__xlnm._FilterDatabase_15717[[#This Row],[SAPSA Number]],Table1[SAPSA number],Table1[Paid up])</f>
        <v>0</v>
      </c>
      <c r="D11" s="39" t="str">
        <f>_xlfn.XLOOKUP(__xlnm._FilterDatabase_15717[[#This Row],[SAPSA Number]],Table1[SAPSA number],Table1[Name])</f>
        <v>Conrad Ernest</v>
      </c>
      <c r="E11" s="39" t="str">
        <f>_xlfn.XLOOKUP(__xlnm._FilterDatabase_15717[[#This Row],[SAPSA Number]],Table1[SAPSA number],Table1[Surname])</f>
        <v>Brandt</v>
      </c>
      <c r="F11" s="20" t="str">
        <f>_xlfn.XLOOKUP(__xlnm._FilterDatabase_15717[[#This Row],[SAPSA Number]],Table1[SAPSA number],Table1[Initials])</f>
        <v>CE</v>
      </c>
      <c r="G11" s="17" t="str">
        <f ca="1">_xlfn.XLOOKUP(__xlnm._FilterDatabase_15717[[#This Row],[SAPSA Number]],Table1[SAPSA number],Table1[Gender])</f>
        <v>S</v>
      </c>
      <c r="H11" s="19" t="e">
        <f>_xlfn.XLOOKUP(__xlnm._FilterDatabase_15717[[#This Row],[SAPSA Number]],#REF!,#REF!)</f>
        <v>#REF!</v>
      </c>
      <c r="I11" s="19" t="s">
        <v>242</v>
      </c>
      <c r="J11" s="21">
        <f t="shared" si="1"/>
        <v>0</v>
      </c>
      <c r="K11" s="22">
        <f t="shared" si="2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3"/>
        <v>4</v>
      </c>
      <c r="B12" s="88">
        <v>3576</v>
      </c>
      <c r="C12" s="89" t="str">
        <f>_xlfn.XLOOKUP(__xlnm._FilterDatabase_15717[[#This Row],[SAPSA Number]],Table1[SAPSA number],Table1[Paid up])</f>
        <v>Y</v>
      </c>
      <c r="D12" s="39" t="str">
        <f>_xlfn.XLOOKUP(__xlnm._FilterDatabase_15717[[#This Row],[SAPSA Number]],Table1[SAPSA number],Table1[Name])</f>
        <v>Christoff Mechiel</v>
      </c>
      <c r="E12" s="39" t="str">
        <f>_xlfn.XLOOKUP(__xlnm._FilterDatabase_15717[[#This Row],[SAPSA Number]],Table1[SAPSA number],Table1[Surname])</f>
        <v>Brandt</v>
      </c>
      <c r="F12" s="20" t="str">
        <f>_xlfn.XLOOKUP(__xlnm._FilterDatabase_15717[[#This Row],[SAPSA Number]],Table1[SAPSA number],Table1[Initials])</f>
        <v>CM</v>
      </c>
      <c r="G12" s="17" t="str">
        <f ca="1">_xlfn.XLOOKUP(__xlnm._FilterDatabase_15717[[#This Row],[SAPSA Number]],Table1[SAPSA number],Table1[Gender])</f>
        <v xml:space="preserve"> </v>
      </c>
      <c r="H12" s="19" t="e">
        <f>_xlfn.XLOOKUP(__xlnm._FilterDatabase_15717[[#This Row],[SAPSA Number]],#REF!,#REF!)</f>
        <v>#REF!</v>
      </c>
      <c r="I12" s="19" t="s">
        <v>242</v>
      </c>
      <c r="J12" s="21">
        <f t="shared" si="1"/>
        <v>0</v>
      </c>
      <c r="K12" s="22">
        <f t="shared" si="2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3"/>
        <v>4</v>
      </c>
      <c r="B13" s="89">
        <v>5304</v>
      </c>
      <c r="C13" s="89">
        <f>_xlfn.XLOOKUP(__xlnm._FilterDatabase_15717[[#This Row],[SAPSA Number]],Table1[SAPSA number],Table1[Paid up])</f>
        <v>0</v>
      </c>
      <c r="D13" s="39" t="str">
        <f>_xlfn.XLOOKUP(__xlnm._FilterDatabase_15717[[#This Row],[SAPSA Number]],Table1[SAPSA number],Table1[Name])</f>
        <v>Johan Gerard</v>
      </c>
      <c r="E13" s="39" t="str">
        <f>_xlfn.XLOOKUP(__xlnm._FilterDatabase_15717[[#This Row],[SAPSA Number]],Table1[SAPSA number],Table1[Surname])</f>
        <v>Bultman</v>
      </c>
      <c r="F13" s="20" t="str">
        <f>_xlfn.XLOOKUP(__xlnm._FilterDatabase_15717[[#This Row],[SAPSA Number]],Table1[SAPSA number],Table1[Initials])</f>
        <v>JG</v>
      </c>
      <c r="G13" s="17" t="str">
        <f ca="1">_xlfn.XLOOKUP(__xlnm._FilterDatabase_15717[[#This Row],[SAPSA Number]],Table1[SAPSA number],Table1[Gender])</f>
        <v xml:space="preserve"> </v>
      </c>
      <c r="H13" s="19" t="e">
        <f>_xlfn.XLOOKUP(__xlnm._FilterDatabase_15717[[#This Row],[SAPSA Number]],#REF!,#REF!)</f>
        <v>#REF!</v>
      </c>
      <c r="I13" s="19" t="s">
        <v>242</v>
      </c>
      <c r="J13" s="21">
        <f t="shared" si="1"/>
        <v>0</v>
      </c>
      <c r="K13" s="22">
        <f t="shared" si="2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3"/>
        <v>4</v>
      </c>
      <c r="B14" s="88">
        <v>259</v>
      </c>
      <c r="C14" s="89" t="str">
        <f>_xlfn.XLOOKUP(__xlnm._FilterDatabase_15717[[#This Row],[SAPSA Number]],Table1[SAPSA number],Table1[Paid up])</f>
        <v>Y</v>
      </c>
      <c r="D14" s="39" t="str">
        <f>_xlfn.XLOOKUP(__xlnm._FilterDatabase_15717[[#This Row],[SAPSA Number]],Table1[SAPSA number],Table1[Name])</f>
        <v>Kathleen Beresford</v>
      </c>
      <c r="E14" s="39" t="str">
        <f>_xlfn.XLOOKUP(__xlnm._FilterDatabase_15717[[#This Row],[SAPSA Number]],Table1[SAPSA number],Table1[Surname])</f>
        <v>Carter</v>
      </c>
      <c r="F14" s="20" t="str">
        <f>_xlfn.XLOOKUP(__xlnm._FilterDatabase_15717[[#This Row],[SAPSA Number]],Table1[SAPSA number],Table1[Initials])</f>
        <v>KB</v>
      </c>
      <c r="G14" s="17" t="str">
        <f>_xlfn.XLOOKUP(__xlnm._FilterDatabase_15717[[#This Row],[SAPSA Number]],Table1[SAPSA number],Table1[Gender])</f>
        <v>Lady</v>
      </c>
      <c r="H14" s="19" t="e">
        <f>_xlfn.XLOOKUP(__xlnm._FilterDatabase_15717[[#This Row],[SAPSA Number]],#REF!,#REF!)</f>
        <v>#REF!</v>
      </c>
      <c r="I14" s="19" t="s">
        <v>242</v>
      </c>
      <c r="J14" s="21">
        <f t="shared" si="1"/>
        <v>0</v>
      </c>
      <c r="K14" s="22">
        <f t="shared" si="2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3"/>
        <v>4</v>
      </c>
      <c r="B15" s="88">
        <v>4316</v>
      </c>
      <c r="C15" s="89" t="str">
        <f>_xlfn.XLOOKUP(__xlnm._FilterDatabase_15717[[#This Row],[SAPSA Number]],Table1[SAPSA number],Table1[Paid up])</f>
        <v>Y</v>
      </c>
      <c r="D15" s="39" t="str">
        <f>_xlfn.XLOOKUP(__xlnm._FilterDatabase_15717[[#This Row],[SAPSA Number]],Table1[SAPSA number],Table1[Name])</f>
        <v>Wilhelm Jacobus</v>
      </c>
      <c r="E15" s="39" t="str">
        <f>_xlfn.XLOOKUP(__xlnm._FilterDatabase_15717[[#This Row],[SAPSA Number]],Table1[SAPSA number],Table1[Surname])</f>
        <v>Coetzee</v>
      </c>
      <c r="F15" s="20" t="str">
        <f>_xlfn.XLOOKUP(__xlnm._FilterDatabase_15717[[#This Row],[SAPSA Number]],Table1[SAPSA number],Table1[Initials])</f>
        <v>WJ</v>
      </c>
      <c r="G15" s="17" t="str">
        <f ca="1">_xlfn.XLOOKUP(__xlnm._FilterDatabase_15717[[#This Row],[SAPSA Number]],Table1[SAPSA number],Table1[Gender])</f>
        <v>S</v>
      </c>
      <c r="H15" s="19" t="e">
        <f>_xlfn.XLOOKUP(__xlnm._FilterDatabase_15717[[#This Row],[SAPSA Number]],#REF!,#REF!)</f>
        <v>#REF!</v>
      </c>
      <c r="I15" s="19" t="s">
        <v>242</v>
      </c>
      <c r="J15" s="21">
        <f t="shared" si="1"/>
        <v>0</v>
      </c>
      <c r="K15" s="22">
        <f t="shared" si="2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3"/>
        <v>4</v>
      </c>
      <c r="B16" s="88">
        <v>591</v>
      </c>
      <c r="C16" s="89" t="str">
        <f>_xlfn.XLOOKUP(__xlnm._FilterDatabase_15717[[#This Row],[SAPSA Number]],Table1[SAPSA number],Table1[Paid up])</f>
        <v>Y</v>
      </c>
      <c r="D16" s="39" t="str">
        <f>_xlfn.XLOOKUP(__xlnm._FilterDatabase_15717[[#This Row],[SAPSA Number]],Table1[SAPSA number],Table1[Name])</f>
        <v>Enrico</v>
      </c>
      <c r="E16" s="39" t="str">
        <f>_xlfn.XLOOKUP(__xlnm._FilterDatabase_15717[[#This Row],[SAPSA Number]],Table1[SAPSA number],Table1[Surname])</f>
        <v>Cupido</v>
      </c>
      <c r="F16" s="20" t="str">
        <f>_xlfn.XLOOKUP(__xlnm._FilterDatabase_15717[[#This Row],[SAPSA Number]],Table1[SAPSA number],Table1[Initials])</f>
        <v>E</v>
      </c>
      <c r="G16" s="17" t="str">
        <f ca="1">_xlfn.XLOOKUP(__xlnm._FilterDatabase_15717[[#This Row],[SAPSA Number]],Table1[SAPSA number],Table1[Gender])</f>
        <v>GS</v>
      </c>
      <c r="H16" s="19" t="e">
        <f>_xlfn.XLOOKUP(__xlnm._FilterDatabase_15717[[#This Row],[SAPSA Number]],#REF!,#REF!)</f>
        <v>#REF!</v>
      </c>
      <c r="I16" s="19" t="s">
        <v>242</v>
      </c>
      <c r="J16" s="21">
        <f t="shared" si="1"/>
        <v>0</v>
      </c>
      <c r="K16" s="22">
        <f t="shared" si="2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3"/>
        <v>4</v>
      </c>
      <c r="B17" s="88">
        <v>601</v>
      </c>
      <c r="C17" s="89" t="str">
        <f>_xlfn.XLOOKUP(__xlnm._FilterDatabase_15717[[#This Row],[SAPSA Number]],Table1[SAPSA number],Table1[Paid up])</f>
        <v>Y</v>
      </c>
      <c r="D17" s="39" t="str">
        <f>_xlfn.XLOOKUP(__xlnm._FilterDatabase_15717[[#This Row],[SAPSA Number]],Table1[SAPSA number],Table1[Name])</f>
        <v>Piero</v>
      </c>
      <c r="E17" s="39" t="str">
        <f>_xlfn.XLOOKUP(__xlnm._FilterDatabase_15717[[#This Row],[SAPSA Number]],Table1[SAPSA number],Table1[Surname])</f>
        <v>Cupido</v>
      </c>
      <c r="F17" s="20" t="str">
        <f>_xlfn.XLOOKUP(__xlnm._FilterDatabase_15717[[#This Row],[SAPSA Number]],Table1[SAPSA number],Table1[Initials])</f>
        <v>P</v>
      </c>
      <c r="G17" s="17" t="str">
        <f ca="1">_xlfn.XLOOKUP(__xlnm._FilterDatabase_15717[[#This Row],[SAPSA Number]],Table1[SAPSA number],Table1[Gender])</f>
        <v xml:space="preserve"> </v>
      </c>
      <c r="H17" s="19" t="e">
        <f>_xlfn.XLOOKUP(__xlnm._FilterDatabase_15717[[#This Row],[SAPSA Number]],#REF!,#REF!)</f>
        <v>#REF!</v>
      </c>
      <c r="I17" s="19" t="s">
        <v>242</v>
      </c>
      <c r="J17" s="21">
        <f t="shared" si="1"/>
        <v>0</v>
      </c>
      <c r="K17" s="22">
        <f t="shared" si="2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3"/>
        <v>4</v>
      </c>
      <c r="B18" s="89">
        <v>288</v>
      </c>
      <c r="C18" s="89" t="str">
        <f>_xlfn.XLOOKUP(__xlnm._FilterDatabase_15717[[#This Row],[SAPSA Number]],Table1[SAPSA number],Table1[Paid up])</f>
        <v>Y</v>
      </c>
      <c r="D18" s="39" t="str">
        <f>_xlfn.XLOOKUP(__xlnm._FilterDatabase_15717[[#This Row],[SAPSA Number]],Table1[SAPSA number],Table1[Name])</f>
        <v>Feroz</v>
      </c>
      <c r="E18" s="39" t="str">
        <f>_xlfn.XLOOKUP(__xlnm._FilterDatabase_15717[[#This Row],[SAPSA Number]],Table1[SAPSA number],Table1[Surname])</f>
        <v>Daya</v>
      </c>
      <c r="F18" s="20" t="str">
        <f>_xlfn.XLOOKUP(__xlnm._FilterDatabase_15717[[#This Row],[SAPSA Number]],Table1[SAPSA number],Table1[Initials])</f>
        <v>F</v>
      </c>
      <c r="G18" s="17" t="str">
        <f ca="1">_xlfn.XLOOKUP(__xlnm._FilterDatabase_15717[[#This Row],[SAPSA Number]],Table1[SAPSA number],Table1[Gender])</f>
        <v>S</v>
      </c>
      <c r="H18" s="19" t="e">
        <f>_xlfn.XLOOKUP(__xlnm._FilterDatabase_15717[[#This Row],[SAPSA Number]],#REF!,#REF!)</f>
        <v>#REF!</v>
      </c>
      <c r="I18" s="19" t="s">
        <v>242</v>
      </c>
      <c r="J18" s="21">
        <f t="shared" si="1"/>
        <v>0</v>
      </c>
      <c r="K18" s="22">
        <f t="shared" si="2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3"/>
        <v>4</v>
      </c>
      <c r="B19" s="89">
        <v>6846</v>
      </c>
      <c r="C19" s="89">
        <f>_xlfn.XLOOKUP(__xlnm._FilterDatabase_15717[[#This Row],[SAPSA Number]],Table1[SAPSA number],Table1[Paid up])</f>
        <v>0</v>
      </c>
      <c r="D19" s="39" t="str">
        <f>_xlfn.XLOOKUP(__xlnm._FilterDatabase_15717[[#This Row],[SAPSA Number]],Table1[SAPSA number],Table1[Name])</f>
        <v>Daniel Stephanus Jacobus</v>
      </c>
      <c r="E19" s="39" t="str">
        <f>_xlfn.XLOOKUP(__xlnm._FilterDatabase_15717[[#This Row],[SAPSA Number]],Table1[SAPSA number],Table1[Surname])</f>
        <v>Dreyer</v>
      </c>
      <c r="F19" s="20" t="str">
        <f>_xlfn.XLOOKUP(__xlnm._FilterDatabase_15717[[#This Row],[SAPSA Number]],Table1[SAPSA number],Table1[Initials])</f>
        <v>DSJ</v>
      </c>
      <c r="G19" s="17" t="str">
        <f ca="1">_xlfn.XLOOKUP(__xlnm._FilterDatabase_15717[[#This Row],[SAPSA Number]],Table1[SAPSA number],Table1[Gender])</f>
        <v xml:space="preserve"> </v>
      </c>
      <c r="H19" s="19" t="e">
        <f>_xlfn.XLOOKUP(__xlnm._FilterDatabase_15717[[#This Row],[SAPSA Number]],#REF!,#REF!)</f>
        <v>#REF!</v>
      </c>
      <c r="I19" s="19" t="s">
        <v>242</v>
      </c>
      <c r="J19" s="21">
        <f t="shared" si="1"/>
        <v>0</v>
      </c>
      <c r="K19" s="22">
        <f t="shared" si="2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3"/>
        <v>4</v>
      </c>
      <c r="B20" s="91">
        <v>392</v>
      </c>
      <c r="C20" s="89" t="str">
        <f>_xlfn.XLOOKUP(__xlnm._FilterDatabase_15717[[#This Row],[SAPSA Number]],Table1[SAPSA number],Table1[Paid up])</f>
        <v>Y</v>
      </c>
      <c r="D20" s="39" t="str">
        <f>_xlfn.XLOOKUP(__xlnm._FilterDatabase_15717[[#This Row],[SAPSA Number]],Table1[SAPSA number],Table1[Name])</f>
        <v>Sasha-Lee</v>
      </c>
      <c r="E20" s="39" t="str">
        <f>_xlfn.XLOOKUP(__xlnm._FilterDatabase_15717[[#This Row],[SAPSA Number]],Table1[SAPSA number],Table1[Surname])</f>
        <v>Du Plessis</v>
      </c>
      <c r="F20" s="20" t="str">
        <f>_xlfn.XLOOKUP(__xlnm._FilterDatabase_15717[[#This Row],[SAPSA Number]],Table1[SAPSA number],Table1[Initials])</f>
        <v>SL</v>
      </c>
      <c r="G20" s="17" t="str">
        <f>_xlfn.XLOOKUP(__xlnm._FilterDatabase_15717[[#This Row],[SAPSA Number]],Table1[SAPSA number],Table1[Gender])</f>
        <v>Lady</v>
      </c>
      <c r="H20" s="19" t="e">
        <f>_xlfn.XLOOKUP(__xlnm._FilterDatabase_15717[[#This Row],[SAPSA Number]],#REF!,#REF!)</f>
        <v>#REF!</v>
      </c>
      <c r="I20" s="19" t="s">
        <v>242</v>
      </c>
      <c r="J20" s="21">
        <f t="shared" si="1"/>
        <v>0</v>
      </c>
      <c r="K20" s="22">
        <f t="shared" si="2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3"/>
        <v>4</v>
      </c>
      <c r="B21" s="91">
        <v>127</v>
      </c>
      <c r="C21" s="89" t="str">
        <f>_xlfn.XLOOKUP(__xlnm._FilterDatabase_15717[[#This Row],[SAPSA Number]],Table1[SAPSA number],Table1[Paid up])</f>
        <v>Y</v>
      </c>
      <c r="D21" s="39" t="str">
        <f>_xlfn.XLOOKUP(__xlnm._FilterDatabase_15717[[#This Row],[SAPSA Number]],Table1[SAPSA number],Table1[Name])</f>
        <v>Eurika Susara</v>
      </c>
      <c r="E21" s="39" t="str">
        <f>_xlfn.XLOOKUP(__xlnm._FilterDatabase_15717[[#This Row],[SAPSA Number]],Table1[SAPSA number],Table1[Surname])</f>
        <v>Du Plooy</v>
      </c>
      <c r="F21" s="20" t="str">
        <f>_xlfn.XLOOKUP(__xlnm._FilterDatabase_15717[[#This Row],[SAPSA Number]],Table1[SAPSA number],Table1[Initials])</f>
        <v>E</v>
      </c>
      <c r="G21" s="17" t="str">
        <f>_xlfn.XLOOKUP(__xlnm._FilterDatabase_15717[[#This Row],[SAPSA Number]],Table1[SAPSA number],Table1[Gender])</f>
        <v>SS</v>
      </c>
      <c r="H21" s="19" t="e">
        <f>_xlfn.XLOOKUP(__xlnm._FilterDatabase_15717[[#This Row],[SAPSA Number]],#REF!,#REF!)</f>
        <v>#REF!</v>
      </c>
      <c r="I21" s="19" t="s">
        <v>242</v>
      </c>
      <c r="J21" s="21">
        <f t="shared" si="1"/>
        <v>0</v>
      </c>
      <c r="K21" s="22">
        <f t="shared" si="2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3"/>
        <v>4</v>
      </c>
      <c r="B22" s="88">
        <v>393</v>
      </c>
      <c r="C22" s="89" t="str">
        <f>_xlfn.XLOOKUP(__xlnm._FilterDatabase_15717[[#This Row],[SAPSA Number]],Table1[SAPSA number],Table1[Paid up])</f>
        <v>Y</v>
      </c>
      <c r="D22" s="39" t="str">
        <f>_xlfn.XLOOKUP(__xlnm._FilterDatabase_15717[[#This Row],[SAPSA Number]],Table1[SAPSA number],Table1[Name])</f>
        <v>Robyn Angela</v>
      </c>
      <c r="E22" s="39" t="str">
        <f>_xlfn.XLOOKUP(__xlnm._FilterDatabase_15717[[#This Row],[SAPSA Number]],Table1[SAPSA number],Table1[Surname])</f>
        <v>Evans</v>
      </c>
      <c r="F22" s="20" t="str">
        <f>_xlfn.XLOOKUP(__xlnm._FilterDatabase_15717[[#This Row],[SAPSA Number]],Table1[SAPSA number],Table1[Initials])</f>
        <v>RA</v>
      </c>
      <c r="G22" s="17" t="str">
        <f>_xlfn.XLOOKUP(__xlnm._FilterDatabase_15717[[#This Row],[SAPSA Number]],Table1[SAPSA number],Table1[Gender])</f>
        <v>Lady</v>
      </c>
      <c r="H22" s="19" t="e">
        <f>_xlfn.XLOOKUP(__xlnm._FilterDatabase_15717[[#This Row],[SAPSA Number]],#REF!,#REF!)</f>
        <v>#REF!</v>
      </c>
      <c r="I22" s="19" t="s">
        <v>242</v>
      </c>
      <c r="J22" s="21">
        <f t="shared" si="1"/>
        <v>0</v>
      </c>
      <c r="K22" s="22">
        <f t="shared" si="2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3"/>
        <v>4</v>
      </c>
      <c r="B23" s="88">
        <v>3172</v>
      </c>
      <c r="C23" s="89" t="str">
        <f>_xlfn.XLOOKUP(__xlnm._FilterDatabase_15717[[#This Row],[SAPSA Number]],Table1[SAPSA number],Table1[Paid up])</f>
        <v>Y</v>
      </c>
      <c r="D23" s="39" t="str">
        <f>_xlfn.XLOOKUP(__xlnm._FilterDatabase_15717[[#This Row],[SAPSA Number]],Table1[SAPSA number],Table1[Name])</f>
        <v>Mervyn-John</v>
      </c>
      <c r="E23" s="39" t="str">
        <f>_xlfn.XLOOKUP(__xlnm._FilterDatabase_15717[[#This Row],[SAPSA Number]],Table1[SAPSA number],Table1[Surname])</f>
        <v>Evans</v>
      </c>
      <c r="F23" s="20" t="str">
        <f>_xlfn.XLOOKUP(__xlnm._FilterDatabase_15717[[#This Row],[SAPSA Number]],Table1[SAPSA number],Table1[Initials])</f>
        <v>MJ</v>
      </c>
      <c r="G23" s="17" t="str">
        <f ca="1">_xlfn.XLOOKUP(__xlnm._FilterDatabase_15717[[#This Row],[SAPSA Number]],Table1[SAPSA number],Table1[Gender])</f>
        <v>SS</v>
      </c>
      <c r="H23" s="19" t="e">
        <f>_xlfn.XLOOKUP(__xlnm._FilterDatabase_15717[[#This Row],[SAPSA Number]],#REF!,#REF!)</f>
        <v>#REF!</v>
      </c>
      <c r="I23" s="19" t="s">
        <v>242</v>
      </c>
      <c r="J23" s="21">
        <f t="shared" si="1"/>
        <v>0</v>
      </c>
      <c r="K23" s="22">
        <f t="shared" si="2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3"/>
        <v>4</v>
      </c>
      <c r="B24" s="88">
        <v>3173</v>
      </c>
      <c r="C24" s="89" t="str">
        <f>_xlfn.XLOOKUP(__xlnm._FilterDatabase_15717[[#This Row],[SAPSA Number]],Table1[SAPSA number],Table1[Paid up])</f>
        <v>Y</v>
      </c>
      <c r="D24" s="39" t="str">
        <f>_xlfn.XLOOKUP(__xlnm._FilterDatabase_15717[[#This Row],[SAPSA Number]],Table1[SAPSA number],Table1[Name])</f>
        <v>Garrett-John</v>
      </c>
      <c r="E24" s="39" t="str">
        <f>_xlfn.XLOOKUP(__xlnm._FilterDatabase_15717[[#This Row],[SAPSA Number]],Table1[SAPSA number],Table1[Surname])</f>
        <v>Evans</v>
      </c>
      <c r="F24" s="20" t="str">
        <f>_xlfn.XLOOKUP(__xlnm._FilterDatabase_15717[[#This Row],[SAPSA Number]],Table1[SAPSA number],Table1[Initials])</f>
        <v>G-J</v>
      </c>
      <c r="G24" s="17" t="str">
        <f ca="1">_xlfn.XLOOKUP(__xlnm._FilterDatabase_15717[[#This Row],[SAPSA Number]],Table1[SAPSA number],Table1[Gender])</f>
        <v xml:space="preserve"> </v>
      </c>
      <c r="H24" s="19" t="e">
        <f>_xlfn.XLOOKUP(__xlnm._FilterDatabase_15717[[#This Row],[SAPSA Number]],#REF!,#REF!)</f>
        <v>#REF!</v>
      </c>
      <c r="I24" s="19" t="s">
        <v>242</v>
      </c>
      <c r="J24" s="21">
        <f t="shared" si="1"/>
        <v>0</v>
      </c>
      <c r="K24" s="22">
        <f t="shared" si="2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3"/>
        <v>4</v>
      </c>
      <c r="B25" s="89">
        <v>7434</v>
      </c>
      <c r="C25" s="89">
        <f>_xlfn.XLOOKUP(__xlnm._FilterDatabase_15717[[#This Row],[SAPSA Number]],Table1[SAPSA number],Table1[Paid up])</f>
        <v>0</v>
      </c>
      <c r="D25" s="39" t="str">
        <f>_xlfn.XLOOKUP(__xlnm._FilterDatabase_15717[[#This Row],[SAPSA Number]],Table1[SAPSA number],Table1[Name])</f>
        <v>Shannon Kimberley</v>
      </c>
      <c r="E25" s="39" t="str">
        <f>_xlfn.XLOOKUP(__xlnm._FilterDatabase_15717[[#This Row],[SAPSA Number]],Table1[SAPSA number],Table1[Surname])</f>
        <v>Gahagan</v>
      </c>
      <c r="F25" s="20" t="str">
        <f>_xlfn.XLOOKUP(__xlnm._FilterDatabase_15717[[#This Row],[SAPSA Number]],Table1[SAPSA number],Table1[Initials])</f>
        <v>S</v>
      </c>
      <c r="G25" s="17" t="str">
        <f>_xlfn.XLOOKUP(__xlnm._FilterDatabase_15717[[#This Row],[SAPSA Number]],Table1[SAPSA number],Table1[Gender])</f>
        <v>Lady</v>
      </c>
      <c r="H25" s="19" t="e">
        <f>_xlfn.XLOOKUP(__xlnm._FilterDatabase_15717[[#This Row],[SAPSA Number]],#REF!,#REF!)</f>
        <v>#REF!</v>
      </c>
      <c r="I25" s="19" t="s">
        <v>242</v>
      </c>
      <c r="J25" s="21">
        <f t="shared" si="1"/>
        <v>0</v>
      </c>
      <c r="K25" s="22">
        <f t="shared" si="2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3"/>
        <v>4</v>
      </c>
      <c r="B26" s="88">
        <v>3782</v>
      </c>
      <c r="C26" s="89">
        <f>_xlfn.XLOOKUP(__xlnm._FilterDatabase_15717[[#This Row],[SAPSA Number]],Table1[SAPSA number],Table1[Paid up])</f>
        <v>0</v>
      </c>
      <c r="D26" s="39" t="str">
        <f>_xlfn.XLOOKUP(__xlnm._FilterDatabase_15717[[#This Row],[SAPSA Number]],Table1[SAPSA number],Table1[Name])</f>
        <v>Gary Athol</v>
      </c>
      <c r="E26" s="39" t="str">
        <f>_xlfn.XLOOKUP(__xlnm._FilterDatabase_15717[[#This Row],[SAPSA Number]],Table1[SAPSA number],Table1[Surname])</f>
        <v>Hagemann</v>
      </c>
      <c r="F26" s="20" t="str">
        <f>_xlfn.XLOOKUP(__xlnm._FilterDatabase_15717[[#This Row],[SAPSA Number]],Table1[SAPSA number],Table1[Initials])</f>
        <v>GA</v>
      </c>
      <c r="G26" s="17" t="str">
        <f ca="1">_xlfn.XLOOKUP(__xlnm._FilterDatabase_15717[[#This Row],[SAPSA Number]],Table1[SAPSA number],Table1[Gender])</f>
        <v>S</v>
      </c>
      <c r="H26" s="19" t="e">
        <f>_xlfn.XLOOKUP(__xlnm._FilterDatabase_15717[[#This Row],[SAPSA Number]],#REF!,#REF!)</f>
        <v>#REF!</v>
      </c>
      <c r="I26" s="19" t="s">
        <v>242</v>
      </c>
      <c r="J26" s="21">
        <f t="shared" si="1"/>
        <v>0</v>
      </c>
      <c r="K26" s="22">
        <f t="shared" si="2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3"/>
        <v>4</v>
      </c>
      <c r="B27" s="88">
        <v>6308</v>
      </c>
      <c r="C27" s="89">
        <f>_xlfn.XLOOKUP(__xlnm._FilterDatabase_15717[[#This Row],[SAPSA Number]],Table1[SAPSA number],Table1[Paid up])</f>
        <v>0</v>
      </c>
      <c r="D27" s="39" t="str">
        <f>_xlfn.XLOOKUP(__xlnm._FilterDatabase_15717[[#This Row],[SAPSA Number]],Table1[SAPSA number],Table1[Name])</f>
        <v>James Matthew</v>
      </c>
      <c r="E27" s="39" t="str">
        <f>_xlfn.XLOOKUP(__xlnm._FilterDatabase_15717[[#This Row],[SAPSA Number]],Table1[SAPSA number],Table1[Surname])</f>
        <v>Hagemann</v>
      </c>
      <c r="F27" s="20" t="str">
        <f>_xlfn.XLOOKUP(__xlnm._FilterDatabase_15717[[#This Row],[SAPSA Number]],Table1[SAPSA number],Table1[Initials])</f>
        <v>JM</v>
      </c>
      <c r="G27" s="17" t="str">
        <f ca="1">_xlfn.XLOOKUP(__xlnm._FilterDatabase_15717[[#This Row],[SAPSA Number]],Table1[SAPSA number],Table1[Gender])</f>
        <v>Jnr</v>
      </c>
      <c r="H27" s="19" t="e">
        <f>_xlfn.XLOOKUP(__xlnm._FilterDatabase_15717[[#This Row],[SAPSA Number]],#REF!,#REF!)</f>
        <v>#REF!</v>
      </c>
      <c r="I27" s="19" t="s">
        <v>242</v>
      </c>
      <c r="J27" s="21">
        <f t="shared" si="1"/>
        <v>0</v>
      </c>
      <c r="K27" s="22">
        <f t="shared" si="2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3"/>
        <v>4</v>
      </c>
      <c r="B28" s="89">
        <v>7328</v>
      </c>
      <c r="C28" s="89" t="str">
        <f>_xlfn.XLOOKUP(__xlnm._FilterDatabase_15717[[#This Row],[SAPSA Number]],Table1[SAPSA number],Table1[Paid up])</f>
        <v>Y</v>
      </c>
      <c r="D28" s="39" t="str">
        <f>_xlfn.XLOOKUP(__xlnm._FilterDatabase_15717[[#This Row],[SAPSA Number]],Table1[SAPSA number],Table1[Name])</f>
        <v>Sizwe</v>
      </c>
      <c r="E28" s="39" t="str">
        <f>_xlfn.XLOOKUP(__xlnm._FilterDatabase_15717[[#This Row],[SAPSA Number]],Table1[SAPSA number],Table1[Surname])</f>
        <v>Hlongwane</v>
      </c>
      <c r="F28" s="20" t="str">
        <f>_xlfn.XLOOKUP(__xlnm._FilterDatabase_15717[[#This Row],[SAPSA Number]],Table1[SAPSA number],Table1[Initials])</f>
        <v>S</v>
      </c>
      <c r="G28" s="17" t="str">
        <f ca="1">_xlfn.XLOOKUP(__xlnm._FilterDatabase_15717[[#This Row],[SAPSA Number]],Table1[SAPSA number],Table1[Gender])</f>
        <v xml:space="preserve"> </v>
      </c>
      <c r="H28" s="19" t="e">
        <f>_xlfn.XLOOKUP(__xlnm._FilterDatabase_15717[[#This Row],[SAPSA Number]],#REF!,#REF!)</f>
        <v>#REF!</v>
      </c>
      <c r="I28" s="19" t="s">
        <v>242</v>
      </c>
      <c r="J28" s="21">
        <f t="shared" si="1"/>
        <v>0</v>
      </c>
      <c r="K28" s="22">
        <f t="shared" si="2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3"/>
        <v>4</v>
      </c>
      <c r="B29" s="92">
        <v>7271</v>
      </c>
      <c r="C29" s="89" t="str">
        <f>_xlfn.XLOOKUP(__xlnm._FilterDatabase_15717[[#This Row],[SAPSA Number]],Table1[SAPSA number],Table1[Paid up])</f>
        <v>Y</v>
      </c>
      <c r="D29" s="39" t="str">
        <f>_xlfn.XLOOKUP(__xlnm._FilterDatabase_15717[[#This Row],[SAPSA Number]],Table1[SAPSA number],Table1[Name])</f>
        <v>Johan</v>
      </c>
      <c r="E29" s="39" t="str">
        <f>_xlfn.XLOOKUP(__xlnm._FilterDatabase_15717[[#This Row],[SAPSA Number]],Table1[SAPSA number],Table1[Surname])</f>
        <v>Jacobs</v>
      </c>
      <c r="F29" s="20" t="str">
        <f>_xlfn.XLOOKUP(__xlnm._FilterDatabase_15717[[#This Row],[SAPSA Number]],Table1[SAPSA number],Table1[Initials])</f>
        <v>J</v>
      </c>
      <c r="G29" s="17" t="str">
        <f ca="1">_xlfn.XLOOKUP(__xlnm._FilterDatabase_15717[[#This Row],[SAPSA Number]],Table1[SAPSA number],Table1[Gender])</f>
        <v xml:space="preserve"> </v>
      </c>
      <c r="H29" s="19" t="e">
        <f>_xlfn.XLOOKUP(__xlnm._FilterDatabase_15717[[#This Row],[SAPSA Number]],#REF!,#REF!)</f>
        <v>#REF!</v>
      </c>
      <c r="I29" s="19" t="s">
        <v>242</v>
      </c>
      <c r="J29" s="21">
        <f t="shared" si="1"/>
        <v>0</v>
      </c>
      <c r="K29" s="22">
        <f t="shared" si="2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3"/>
        <v>4</v>
      </c>
      <c r="B30" s="88">
        <v>2655</v>
      </c>
      <c r="C30" s="89" t="str">
        <f>_xlfn.XLOOKUP(__xlnm._FilterDatabase_15717[[#This Row],[SAPSA Number]],Table1[SAPSA number],Table1[Paid up])</f>
        <v>Y</v>
      </c>
      <c r="D30" s="39" t="str">
        <f>_xlfn.XLOOKUP(__xlnm._FilterDatabase_15717[[#This Row],[SAPSA Number]],Table1[SAPSA number],Table1[Name])</f>
        <v>Ruben</v>
      </c>
      <c r="E30" s="39" t="str">
        <f>_xlfn.XLOOKUP(__xlnm._FilterDatabase_15717[[#This Row],[SAPSA Number]],Table1[SAPSA number],Table1[Surname])</f>
        <v>Joubert</v>
      </c>
      <c r="F30" s="20" t="str">
        <f>_xlfn.XLOOKUP(__xlnm._FilterDatabase_15717[[#This Row],[SAPSA Number]],Table1[SAPSA number],Table1[Initials])</f>
        <v>R</v>
      </c>
      <c r="G30" s="17" t="str">
        <f ca="1">_xlfn.XLOOKUP(__xlnm._FilterDatabase_15717[[#This Row],[SAPSA Number]],Table1[SAPSA number],Table1[Gender])</f>
        <v>Jnr</v>
      </c>
      <c r="H30" s="19" t="e">
        <f>_xlfn.XLOOKUP(__xlnm._FilterDatabase_15717[[#This Row],[SAPSA Number]],#REF!,#REF!)</f>
        <v>#REF!</v>
      </c>
      <c r="I30" s="19" t="s">
        <v>242</v>
      </c>
      <c r="J30" s="21">
        <f t="shared" si="1"/>
        <v>0</v>
      </c>
      <c r="K30" s="22">
        <f t="shared" si="2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3"/>
        <v>4</v>
      </c>
      <c r="B31" s="18">
        <v>3339</v>
      </c>
      <c r="C31" s="89" t="str">
        <f>_xlfn.XLOOKUP(__xlnm._FilterDatabase_15717[[#This Row],[SAPSA Number]],Table1[SAPSA number],Table1[Paid up])</f>
        <v>Y</v>
      </c>
      <c r="D31" s="39" t="str">
        <f>_xlfn.XLOOKUP(__xlnm._FilterDatabase_15717[[#This Row],[SAPSA Number]],Table1[SAPSA number],Table1[Name])</f>
        <v>Hendrik Johannes</v>
      </c>
      <c r="E31" s="39" t="str">
        <f>_xlfn.XLOOKUP(__xlnm._FilterDatabase_15717[[#This Row],[SAPSA Number]],Table1[SAPSA number],Table1[Surname])</f>
        <v>Joubert</v>
      </c>
      <c r="F31" s="20" t="str">
        <f>_xlfn.XLOOKUP(__xlnm._FilterDatabase_15717[[#This Row],[SAPSA Number]],Table1[SAPSA number],Table1[Initials])</f>
        <v>HJ</v>
      </c>
      <c r="G31" s="17" t="str">
        <f ca="1">_xlfn.XLOOKUP(__xlnm._FilterDatabase_15717[[#This Row],[SAPSA Number]],Table1[SAPSA number],Table1[Gender])</f>
        <v>S</v>
      </c>
      <c r="H31" s="19" t="e">
        <f>_xlfn.XLOOKUP(__xlnm._FilterDatabase_15717[[#This Row],[SAPSA Number]],#REF!,#REF!)</f>
        <v>#REF!</v>
      </c>
      <c r="I31" s="19" t="s">
        <v>242</v>
      </c>
      <c r="J31" s="21">
        <f t="shared" si="1"/>
        <v>0</v>
      </c>
      <c r="K31" s="22">
        <f t="shared" si="2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3"/>
        <v>4</v>
      </c>
      <c r="B32" s="88">
        <v>4094</v>
      </c>
      <c r="C32" s="89" t="str">
        <f>_xlfn.XLOOKUP(__xlnm._FilterDatabase_15717[[#This Row],[SAPSA Number]],Table1[SAPSA number],Table1[Paid up])</f>
        <v>Y</v>
      </c>
      <c r="D32" s="39" t="str">
        <f>_xlfn.XLOOKUP(__xlnm._FilterDatabase_15717[[#This Row],[SAPSA Number]],Table1[SAPSA number],Table1[Name])</f>
        <v>Johan</v>
      </c>
      <c r="E32" s="39" t="str">
        <f>_xlfn.XLOOKUP(__xlnm._FilterDatabase_15717[[#This Row],[SAPSA Number]],Table1[SAPSA number],Table1[Surname])</f>
        <v>Kemp</v>
      </c>
      <c r="F32" s="20" t="str">
        <f>_xlfn.XLOOKUP(__xlnm._FilterDatabase_15717[[#This Row],[SAPSA Number]],Table1[SAPSA number],Table1[Initials])</f>
        <v>J</v>
      </c>
      <c r="G32" s="17" t="str">
        <f ca="1">_xlfn.XLOOKUP(__xlnm._FilterDatabase_15717[[#This Row],[SAPSA Number]],Table1[SAPSA number],Table1[Gender])</f>
        <v xml:space="preserve"> </v>
      </c>
      <c r="H32" s="19" t="e">
        <f>_xlfn.XLOOKUP(__xlnm._FilterDatabase_15717[[#This Row],[SAPSA Number]],#REF!,#REF!)</f>
        <v>#REF!</v>
      </c>
      <c r="I32" s="19" t="s">
        <v>242</v>
      </c>
      <c r="J32" s="21">
        <f t="shared" si="1"/>
        <v>0</v>
      </c>
      <c r="K32" s="22">
        <f t="shared" si="2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3"/>
        <v>4</v>
      </c>
      <c r="B33" s="88">
        <v>6968</v>
      </c>
      <c r="C33" s="89" t="str">
        <f>_xlfn.XLOOKUP(__xlnm._FilterDatabase_15717[[#This Row],[SAPSA Number]],Table1[SAPSA number],Table1[Paid up])</f>
        <v>Y</v>
      </c>
      <c r="D33" s="39" t="str">
        <f>_xlfn.XLOOKUP(__xlnm._FilterDatabase_15717[[#This Row],[SAPSA Number]],Table1[SAPSA number],Table1[Name])</f>
        <v>Ian John</v>
      </c>
      <c r="E33" s="39" t="str">
        <f>_xlfn.XLOOKUP(__xlnm._FilterDatabase_15717[[#This Row],[SAPSA Number]],Table1[SAPSA number],Table1[Surname])</f>
        <v>Kewley</v>
      </c>
      <c r="F33" s="20" t="str">
        <f>_xlfn.XLOOKUP(__xlnm._FilterDatabase_15717[[#This Row],[SAPSA Number]],Table1[SAPSA number],Table1[Initials])</f>
        <v>IJ</v>
      </c>
      <c r="G33" s="17" t="str">
        <f ca="1">_xlfn.XLOOKUP(__xlnm._FilterDatabase_15717[[#This Row],[SAPSA Number]],Table1[SAPSA number],Table1[Gender])</f>
        <v xml:space="preserve"> </v>
      </c>
      <c r="H33" s="19" t="e">
        <f>_xlfn.XLOOKUP(__xlnm._FilterDatabase_15717[[#This Row],[SAPSA Number]],#REF!,#REF!)</f>
        <v>#REF!</v>
      </c>
      <c r="I33" s="19" t="s">
        <v>242</v>
      </c>
      <c r="J33" s="21">
        <f t="shared" si="1"/>
        <v>0</v>
      </c>
      <c r="K33" s="22">
        <f t="shared" si="2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3"/>
        <v>4</v>
      </c>
      <c r="B34" s="27">
        <v>7260</v>
      </c>
      <c r="C34" s="89">
        <f>_xlfn.XLOOKUP(__xlnm._FilterDatabase_15717[[#This Row],[SAPSA Number]],Table1[SAPSA number],Table1[Paid up])</f>
        <v>0</v>
      </c>
      <c r="D34" s="39" t="str">
        <f>_xlfn.XLOOKUP(__xlnm._FilterDatabase_15717[[#This Row],[SAPSA Number]],Table1[SAPSA number],Table1[Name])</f>
        <v>Glenn</v>
      </c>
      <c r="E34" s="39" t="str">
        <f>_xlfn.XLOOKUP(__xlnm._FilterDatabase_15717[[#This Row],[SAPSA Number]],Table1[SAPSA number],Table1[Surname])</f>
        <v>Kieser</v>
      </c>
      <c r="F34" s="20" t="str">
        <f>_xlfn.XLOOKUP(__xlnm._FilterDatabase_15717[[#This Row],[SAPSA Number]],Table1[SAPSA number],Table1[Initials])</f>
        <v>G</v>
      </c>
      <c r="G34" s="17" t="str">
        <f ca="1">_xlfn.XLOOKUP(__xlnm._FilterDatabase_15717[[#This Row],[SAPSA Number]],Table1[SAPSA number],Table1[Gender])</f>
        <v>SS</v>
      </c>
      <c r="H34" s="19" t="e">
        <f>_xlfn.XLOOKUP(__xlnm._FilterDatabase_15717[[#This Row],[SAPSA Number]],#REF!,#REF!)</f>
        <v>#REF!</v>
      </c>
      <c r="I34" s="19" t="s">
        <v>242</v>
      </c>
      <c r="J34" s="21">
        <f t="shared" ref="J34:J66" si="4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5">(LARGE(L34:W34,1)+LARGE(L34:W34,2)+LARGE(L34:W34,3)+LARGE(L34:W34,4)+LARGE(L34:W34,5))/5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3"/>
        <v>4</v>
      </c>
      <c r="B35" s="90">
        <v>252</v>
      </c>
      <c r="C35" s="89" t="str">
        <f>_xlfn.XLOOKUP(__xlnm._FilterDatabase_15717[[#This Row],[SAPSA Number]],Table1[SAPSA number],Table1[Paid up])</f>
        <v>Y</v>
      </c>
      <c r="D35" s="39" t="str">
        <f>_xlfn.XLOOKUP(__xlnm._FilterDatabase_15717[[#This Row],[SAPSA Number]],Table1[SAPSA number],Table1[Name])</f>
        <v>Deon</v>
      </c>
      <c r="E35" s="39" t="str">
        <f>_xlfn.XLOOKUP(__xlnm._FilterDatabase_15717[[#This Row],[SAPSA Number]],Table1[SAPSA number],Table1[Surname])</f>
        <v>Labuschagne</v>
      </c>
      <c r="F35" s="20" t="str">
        <f>_xlfn.XLOOKUP(__xlnm._FilterDatabase_15717[[#This Row],[SAPSA Number]],Table1[SAPSA number],Table1[Initials])</f>
        <v>D</v>
      </c>
      <c r="G35" s="17" t="str">
        <f ca="1">_xlfn.XLOOKUP(__xlnm._FilterDatabase_15717[[#This Row],[SAPSA Number]],Table1[SAPSA number],Table1[Gender])</f>
        <v>GS</v>
      </c>
      <c r="H35" s="19" t="e">
        <f>_xlfn.XLOOKUP(__xlnm._FilterDatabase_15717[[#This Row],[SAPSA Number]],#REF!,#REF!)</f>
        <v>#REF!</v>
      </c>
      <c r="I35" s="19" t="s">
        <v>242</v>
      </c>
      <c r="J35" s="21">
        <f t="shared" si="4"/>
        <v>0</v>
      </c>
      <c r="K35" s="22">
        <f t="shared" si="5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3"/>
        <v>4</v>
      </c>
      <c r="B36" s="18">
        <v>2651</v>
      </c>
      <c r="C36" s="89" t="str">
        <f>_xlfn.XLOOKUP(__xlnm._FilterDatabase_15717[[#This Row],[SAPSA Number]],Table1[SAPSA number],Table1[Paid up])</f>
        <v>Y</v>
      </c>
      <c r="D36" s="39" t="str">
        <f>_xlfn.XLOOKUP(__xlnm._FilterDatabase_15717[[#This Row],[SAPSA Number]],Table1[SAPSA number],Table1[Name])</f>
        <v>Paul Herman</v>
      </c>
      <c r="E36" s="39" t="str">
        <f>_xlfn.XLOOKUP(__xlnm._FilterDatabase_15717[[#This Row],[SAPSA Number]],Table1[SAPSA number],Table1[Surname])</f>
        <v>Leuschner</v>
      </c>
      <c r="F36" s="20" t="str">
        <f>_xlfn.XLOOKUP(__xlnm._FilterDatabase_15717[[#This Row],[SAPSA Number]],Table1[SAPSA number],Table1[Initials])</f>
        <v>PH</v>
      </c>
      <c r="G36" s="17" t="str">
        <f ca="1">_xlfn.XLOOKUP(__xlnm._FilterDatabase_15717[[#This Row],[SAPSA Number]],Table1[SAPSA number],Table1[Gender])</f>
        <v>S</v>
      </c>
      <c r="H36" s="19" t="e">
        <f>_xlfn.XLOOKUP(__xlnm._FilterDatabase_15717[[#This Row],[SAPSA Number]],#REF!,#REF!)</f>
        <v>#REF!</v>
      </c>
      <c r="I36" s="19" t="s">
        <v>242</v>
      </c>
      <c r="J36" s="21">
        <f t="shared" si="4"/>
        <v>0</v>
      </c>
      <c r="K36" s="22">
        <f t="shared" si="5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3"/>
        <v>4</v>
      </c>
      <c r="B37" s="88">
        <v>683</v>
      </c>
      <c r="C37" s="89">
        <f>_xlfn.XLOOKUP(__xlnm._FilterDatabase_15717[[#This Row],[SAPSA Number]],Table1[SAPSA number],Table1[Paid up])</f>
        <v>0</v>
      </c>
      <c r="D37" s="39" t="str">
        <f>_xlfn.XLOOKUP(__xlnm._FilterDatabase_15717[[#This Row],[SAPSA Number]],Table1[SAPSA number],Table1[Name])</f>
        <v>Ivor</v>
      </c>
      <c r="E37" s="39" t="str">
        <f>_xlfn.XLOOKUP(__xlnm._FilterDatabase_15717[[#This Row],[SAPSA Number]],Table1[SAPSA number],Table1[Surname])</f>
        <v>Marais</v>
      </c>
      <c r="F37" s="20" t="str">
        <f>_xlfn.XLOOKUP(__xlnm._FilterDatabase_15717[[#This Row],[SAPSA Number]],Table1[SAPSA number],Table1[Initials])</f>
        <v>I</v>
      </c>
      <c r="G37" s="17" t="str">
        <f ca="1">_xlfn.XLOOKUP(__xlnm._FilterDatabase_15717[[#This Row],[SAPSA Number]],Table1[SAPSA number],Table1[Gender])</f>
        <v>S</v>
      </c>
      <c r="H37" s="19" t="e">
        <f>_xlfn.XLOOKUP(__xlnm._FilterDatabase_15717[[#This Row],[SAPSA Number]],#REF!,#REF!)</f>
        <v>#REF!</v>
      </c>
      <c r="I37" s="19" t="s">
        <v>242</v>
      </c>
      <c r="J37" s="21">
        <f t="shared" si="4"/>
        <v>0</v>
      </c>
      <c r="K37" s="22">
        <f t="shared" si="5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3"/>
        <v>4</v>
      </c>
      <c r="B38" s="92">
        <v>4862</v>
      </c>
      <c r="C38" s="89" t="str">
        <f>_xlfn.XLOOKUP(__xlnm._FilterDatabase_15717[[#This Row],[SAPSA Number]],Table1[SAPSA number],Table1[Paid up])</f>
        <v>Y</v>
      </c>
      <c r="D38" s="39" t="str">
        <f>_xlfn.XLOOKUP(__xlnm._FilterDatabase_15717[[#This Row],[SAPSA Number]],Table1[SAPSA number],Table1[Name])</f>
        <v>George Keith</v>
      </c>
      <c r="E38" s="39" t="str">
        <f>_xlfn.XLOOKUP(__xlnm._FilterDatabase_15717[[#This Row],[SAPSA Number]],Table1[SAPSA number],Table1[Surname])</f>
        <v>Marais</v>
      </c>
      <c r="F38" s="20" t="str">
        <f>_xlfn.XLOOKUP(__xlnm._FilterDatabase_15717[[#This Row],[SAPSA Number]],Table1[SAPSA number],Table1[Initials])</f>
        <v>GK</v>
      </c>
      <c r="G38" s="17" t="str">
        <f ca="1">_xlfn.XLOOKUP(__xlnm._FilterDatabase_15717[[#This Row],[SAPSA Number]],Table1[SAPSA number],Table1[Gender])</f>
        <v>S</v>
      </c>
      <c r="H38" s="19" t="e">
        <f>_xlfn.XLOOKUP(__xlnm._FilterDatabase_15717[[#This Row],[SAPSA Number]],#REF!,#REF!)</f>
        <v>#REF!</v>
      </c>
      <c r="I38" s="19" t="s">
        <v>242</v>
      </c>
      <c r="J38" s="21">
        <f t="shared" si="4"/>
        <v>0</v>
      </c>
      <c r="K38" s="22">
        <f t="shared" si="5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3"/>
        <v>4</v>
      </c>
      <c r="B39" s="88">
        <v>6966</v>
      </c>
      <c r="C39" s="89" t="str">
        <f>_xlfn.XLOOKUP(__xlnm._FilterDatabase_15717[[#This Row],[SAPSA Number]],Table1[SAPSA number],Table1[Paid up])</f>
        <v>Y</v>
      </c>
      <c r="D39" s="39" t="str">
        <f>_xlfn.XLOOKUP(__xlnm._FilterDatabase_15717[[#This Row],[SAPSA Number]],Table1[SAPSA number],Table1[Name])</f>
        <v>James</v>
      </c>
      <c r="E39" s="39" t="str">
        <f>_xlfn.XLOOKUP(__xlnm._FilterDatabase_15717[[#This Row],[SAPSA Number]],Table1[SAPSA number],Table1[Surname])</f>
        <v>Masonganye</v>
      </c>
      <c r="F39" s="20" t="str">
        <f>_xlfn.XLOOKUP(__xlnm._FilterDatabase_15717[[#This Row],[SAPSA Number]],Table1[SAPSA number],Table1[Initials])</f>
        <v>J</v>
      </c>
      <c r="G39" s="17" t="str">
        <f ca="1">_xlfn.XLOOKUP(__xlnm._FilterDatabase_15717[[#This Row],[SAPSA Number]],Table1[SAPSA number],Table1[Gender])</f>
        <v>S</v>
      </c>
      <c r="H39" s="19" t="e">
        <f>_xlfn.XLOOKUP(__xlnm._FilterDatabase_15717[[#This Row],[SAPSA Number]],#REF!,#REF!)</f>
        <v>#REF!</v>
      </c>
      <c r="I39" s="19" t="s">
        <v>242</v>
      </c>
      <c r="J39" s="21">
        <f t="shared" si="4"/>
        <v>0</v>
      </c>
      <c r="K39" s="22">
        <f t="shared" si="5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si="3"/>
        <v>4</v>
      </c>
      <c r="B40" s="88">
        <v>7132</v>
      </c>
      <c r="C40" s="89" t="str">
        <f>_xlfn.XLOOKUP(__xlnm._FilterDatabase_15717[[#This Row],[SAPSA Number]],Table1[SAPSA number],Table1[Paid up])</f>
        <v>Y</v>
      </c>
      <c r="D40" s="39" t="str">
        <f>_xlfn.XLOOKUP(__xlnm._FilterDatabase_15717[[#This Row],[SAPSA Number]],Table1[SAPSA number],Table1[Name])</f>
        <v>Yussuf</v>
      </c>
      <c r="E40" s="39" t="str">
        <f>_xlfn.XLOOKUP(__xlnm._FilterDatabase_15717[[#This Row],[SAPSA Number]],Table1[SAPSA number],Table1[Surname])</f>
        <v>Mayet</v>
      </c>
      <c r="F40" s="20" t="str">
        <f>_xlfn.XLOOKUP(__xlnm._FilterDatabase_15717[[#This Row],[SAPSA Number]],Table1[SAPSA number],Table1[Initials])</f>
        <v>Y</v>
      </c>
      <c r="G40" s="17" t="str">
        <f ca="1">_xlfn.XLOOKUP(__xlnm._FilterDatabase_15717[[#This Row],[SAPSA Number]],Table1[SAPSA number],Table1[Gender])</f>
        <v>GS</v>
      </c>
      <c r="H40" s="19" t="e">
        <f>_xlfn.XLOOKUP(__xlnm._FilterDatabase_15717[[#This Row],[SAPSA Number]],#REF!,#REF!)</f>
        <v>#REF!</v>
      </c>
      <c r="I40" s="19" t="s">
        <v>242</v>
      </c>
      <c r="J40" s="21">
        <f t="shared" si="4"/>
        <v>0</v>
      </c>
      <c r="K40" s="22">
        <f t="shared" si="5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si="3"/>
        <v>4</v>
      </c>
      <c r="B41" s="88">
        <v>851</v>
      </c>
      <c r="C41" s="89" t="str">
        <f>_xlfn.XLOOKUP(__xlnm._FilterDatabase_15717[[#This Row],[SAPSA Number]],Table1[SAPSA number],Table1[Paid up])</f>
        <v>Y</v>
      </c>
      <c r="D41" s="39" t="str">
        <f>_xlfn.XLOOKUP(__xlnm._FilterDatabase_15717[[#This Row],[SAPSA Number]],Table1[SAPSA number],Table1[Name])</f>
        <v>Ian David</v>
      </c>
      <c r="E41" s="39" t="str">
        <f>_xlfn.XLOOKUP(__xlnm._FilterDatabase_15717[[#This Row],[SAPSA Number]],Table1[SAPSA number],Table1[Surname])</f>
        <v>McLaren</v>
      </c>
      <c r="F41" s="20" t="str">
        <f>_xlfn.XLOOKUP(__xlnm._FilterDatabase_15717[[#This Row],[SAPSA Number]],Table1[SAPSA number],Table1[Initials])</f>
        <v>ID</v>
      </c>
      <c r="G41" s="17" t="str">
        <f ca="1">_xlfn.XLOOKUP(__xlnm._FilterDatabase_15717[[#This Row],[SAPSA Number]],Table1[SAPSA number],Table1[Gender])</f>
        <v>SS</v>
      </c>
      <c r="H41" s="19" t="e">
        <f>_xlfn.XLOOKUP(__xlnm._FilterDatabase_15717[[#This Row],[SAPSA Number]],#REF!,#REF!)</f>
        <v>#REF!</v>
      </c>
      <c r="I41" s="19" t="s">
        <v>242</v>
      </c>
      <c r="J41" s="21">
        <f t="shared" si="4"/>
        <v>0</v>
      </c>
      <c r="K41" s="22">
        <f t="shared" si="5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25" customHeight="1" x14ac:dyDescent="0.3">
      <c r="A42" s="17">
        <f t="shared" ref="A42:A69" si="6">RANK(K42,K$2:K$141,0)</f>
        <v>4</v>
      </c>
      <c r="B42" s="88">
        <v>5200</v>
      </c>
      <c r="C42" s="89">
        <f>_xlfn.XLOOKUP(__xlnm._FilterDatabase_15717[[#This Row],[SAPSA Number]],Table1[SAPSA number],Table1[Paid up])</f>
        <v>0</v>
      </c>
      <c r="D42" s="39" t="str">
        <f>_xlfn.XLOOKUP(__xlnm._FilterDatabase_15717[[#This Row],[SAPSA Number]],Table1[SAPSA number],Table1[Name])</f>
        <v>Daniel</v>
      </c>
      <c r="E42" s="39" t="str">
        <f>_xlfn.XLOOKUP(__xlnm._FilterDatabase_15717[[#This Row],[SAPSA Number]],Table1[SAPSA number],Table1[Surname])</f>
        <v>McWilliam</v>
      </c>
      <c r="F42" s="20" t="str">
        <f>_xlfn.XLOOKUP(__xlnm._FilterDatabase_15717[[#This Row],[SAPSA Number]],Table1[SAPSA number],Table1[Initials])</f>
        <v>D</v>
      </c>
      <c r="G42" s="17" t="str">
        <f ca="1">_xlfn.XLOOKUP(__xlnm._FilterDatabase_15717[[#This Row],[SAPSA Number]],Table1[SAPSA number],Table1[Gender])</f>
        <v xml:space="preserve"> </v>
      </c>
      <c r="H42" s="19" t="e">
        <f>_xlfn.XLOOKUP(__xlnm._FilterDatabase_15717[[#This Row],[SAPSA Number]],#REF!,#REF!)</f>
        <v>#REF!</v>
      </c>
      <c r="I42" s="19" t="s">
        <v>242</v>
      </c>
      <c r="J42" s="21">
        <f t="shared" si="4"/>
        <v>0</v>
      </c>
      <c r="K42" s="22">
        <f t="shared" si="5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6"/>
        <v>4</v>
      </c>
      <c r="B43" s="88">
        <v>1771</v>
      </c>
      <c r="C43" s="89" t="str">
        <f>_xlfn.XLOOKUP(__xlnm._FilterDatabase_15717[[#This Row],[SAPSA Number]],Table1[SAPSA number],Table1[Paid up])</f>
        <v>Y</v>
      </c>
      <c r="D43" s="39" t="str">
        <f>_xlfn.XLOOKUP(__xlnm._FilterDatabase_15717[[#This Row],[SAPSA Number]],Table1[SAPSA number],Table1[Name])</f>
        <v>Rodney Ralph</v>
      </c>
      <c r="E43" s="39" t="str">
        <f>_xlfn.XLOOKUP(__xlnm._FilterDatabase_15717[[#This Row],[SAPSA Number]],Table1[SAPSA number],Table1[Surname])</f>
        <v>Mills</v>
      </c>
      <c r="F43" s="20" t="str">
        <f>_xlfn.XLOOKUP(__xlnm._FilterDatabase_15717[[#This Row],[SAPSA Number]],Table1[SAPSA number],Table1[Initials])</f>
        <v>RR</v>
      </c>
      <c r="G43" s="17" t="str">
        <f ca="1">_xlfn.XLOOKUP(__xlnm._FilterDatabase_15717[[#This Row],[SAPSA Number]],Table1[SAPSA number],Table1[Gender])</f>
        <v>GS</v>
      </c>
      <c r="H43" s="19" t="e">
        <f>_xlfn.XLOOKUP(__xlnm._FilterDatabase_15717[[#This Row],[SAPSA Number]],#REF!,#REF!)</f>
        <v>#REF!</v>
      </c>
      <c r="I43" s="19" t="s">
        <v>242</v>
      </c>
      <c r="J43" s="21">
        <f t="shared" si="4"/>
        <v>0</v>
      </c>
      <c r="K43" s="22">
        <f t="shared" si="5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6"/>
        <v>4</v>
      </c>
      <c r="B44" s="89">
        <v>1777</v>
      </c>
      <c r="C44" s="89" t="str">
        <f>_xlfn.XLOOKUP(__xlnm._FilterDatabase_15717[[#This Row],[SAPSA Number]],Table1[SAPSA number],Table1[Paid up])</f>
        <v>Y</v>
      </c>
      <c r="D44" s="39" t="str">
        <f>_xlfn.XLOOKUP(__xlnm._FilterDatabase_15717[[#This Row],[SAPSA Number]],Table1[SAPSA number],Table1[Name])</f>
        <v xml:space="preserve">Leon </v>
      </c>
      <c r="E44" s="39" t="str">
        <f>_xlfn.XLOOKUP(__xlnm._FilterDatabase_15717[[#This Row],[SAPSA Number]],Table1[SAPSA number],Table1[Surname])</f>
        <v>Myburgh</v>
      </c>
      <c r="F44" s="20" t="str">
        <f>_xlfn.XLOOKUP(__xlnm._FilterDatabase_15717[[#This Row],[SAPSA Number]],Table1[SAPSA number],Table1[Initials])</f>
        <v>LC</v>
      </c>
      <c r="G44" s="17" t="str">
        <f ca="1">_xlfn.XLOOKUP(__xlnm._FilterDatabase_15717[[#This Row],[SAPSA Number]],Table1[SAPSA number],Table1[Gender])</f>
        <v>S</v>
      </c>
      <c r="H44" s="19" t="e">
        <f>_xlfn.XLOOKUP(__xlnm._FilterDatabase_15717[[#This Row],[SAPSA Number]],#REF!,#REF!)</f>
        <v>#REF!</v>
      </c>
      <c r="I44" s="19" t="s">
        <v>242</v>
      </c>
      <c r="J44" s="21">
        <f t="shared" si="4"/>
        <v>0</v>
      </c>
      <c r="K44" s="22">
        <f t="shared" si="5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6"/>
        <v>4</v>
      </c>
      <c r="B45" s="89">
        <v>5804</v>
      </c>
      <c r="C45" s="89" t="str">
        <f>_xlfn.XLOOKUP(__xlnm._FilterDatabase_15717[[#This Row],[SAPSA Number]],Table1[SAPSA number],Table1[Paid up])</f>
        <v>Y</v>
      </c>
      <c r="D45" s="39" t="str">
        <f>_xlfn.XLOOKUP(__xlnm._FilterDatabase_15717[[#This Row],[SAPSA Number]],Table1[SAPSA number],Table1[Name])</f>
        <v>Louis Johannes</v>
      </c>
      <c r="E45" s="39" t="str">
        <f>_xlfn.XLOOKUP(__xlnm._FilterDatabase_15717[[#This Row],[SAPSA Number]],Table1[SAPSA number],Table1[Surname])</f>
        <v>Nel</v>
      </c>
      <c r="F45" s="20" t="str">
        <f>_xlfn.XLOOKUP(__xlnm._FilterDatabase_15717[[#This Row],[SAPSA Number]],Table1[SAPSA number],Table1[Initials])</f>
        <v>LJ</v>
      </c>
      <c r="G45" s="17" t="str">
        <f ca="1">_xlfn.XLOOKUP(__xlnm._FilterDatabase_15717[[#This Row],[SAPSA Number]],Table1[SAPSA number],Table1[Gender])</f>
        <v xml:space="preserve"> </v>
      </c>
      <c r="H45" s="19" t="e">
        <f>_xlfn.XLOOKUP(__xlnm._FilterDatabase_15717[[#This Row],[SAPSA Number]],#REF!,#REF!)</f>
        <v>#REF!</v>
      </c>
      <c r="I45" s="19" t="s">
        <v>242</v>
      </c>
      <c r="J45" s="21">
        <f t="shared" si="4"/>
        <v>0</v>
      </c>
      <c r="K45" s="22">
        <f t="shared" si="5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6"/>
        <v>4</v>
      </c>
      <c r="B46" s="88">
        <v>250</v>
      </c>
      <c r="C46" s="89">
        <f>_xlfn.XLOOKUP(__xlnm._FilterDatabase_15717[[#This Row],[SAPSA Number]],Table1[SAPSA number],Table1[Paid up])</f>
        <v>0</v>
      </c>
      <c r="D46" s="39" t="str">
        <f>_xlfn.XLOOKUP(__xlnm._FilterDatabase_15717[[#This Row],[SAPSA Number]],Table1[SAPSA number],Table1[Name])</f>
        <v>Adriano Walter</v>
      </c>
      <c r="E46" s="39" t="str">
        <f>_xlfn.XLOOKUP(__xlnm._FilterDatabase_15717[[#This Row],[SAPSA Number]],Table1[SAPSA number],Table1[Surname])</f>
        <v>Paschini</v>
      </c>
      <c r="F46" s="20" t="str">
        <f>_xlfn.XLOOKUP(__xlnm._FilterDatabase_15717[[#This Row],[SAPSA Number]],Table1[SAPSA number],Table1[Initials])</f>
        <v>AW</v>
      </c>
      <c r="G46" s="17" t="str">
        <f ca="1">_xlfn.XLOOKUP(__xlnm._FilterDatabase_15717[[#This Row],[SAPSA Number]],Table1[SAPSA number],Table1[Gender])</f>
        <v>SS</v>
      </c>
      <c r="H46" s="19" t="e">
        <f>_xlfn.XLOOKUP(__xlnm._FilterDatabase_15717[[#This Row],[SAPSA Number]],#REF!,#REF!)</f>
        <v>#REF!</v>
      </c>
      <c r="I46" s="19" t="s">
        <v>242</v>
      </c>
      <c r="J46" s="21">
        <f t="shared" si="4"/>
        <v>0</v>
      </c>
      <c r="K46" s="22">
        <f t="shared" si="5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6"/>
        <v>4</v>
      </c>
      <c r="B47" s="89">
        <v>6633</v>
      </c>
      <c r="C47" s="89">
        <f>_xlfn.XLOOKUP(__xlnm._FilterDatabase_15717[[#This Row],[SAPSA Number]],Table1[SAPSA number],Table1[Paid up])</f>
        <v>0</v>
      </c>
      <c r="D47" s="39" t="str">
        <f>_xlfn.XLOOKUP(__xlnm._FilterDatabase_15717[[#This Row],[SAPSA Number]],Table1[SAPSA number],Table1[Name])</f>
        <v>Allessandro Raffaele</v>
      </c>
      <c r="E47" s="39" t="str">
        <f>_xlfn.XLOOKUP(__xlnm._FilterDatabase_15717[[#This Row],[SAPSA Number]],Table1[SAPSA number],Table1[Surname])</f>
        <v>Paschini</v>
      </c>
      <c r="F47" s="20" t="str">
        <f>_xlfn.XLOOKUP(__xlnm._FilterDatabase_15717[[#This Row],[SAPSA Number]],Table1[SAPSA number],Table1[Initials])</f>
        <v>AR</v>
      </c>
      <c r="G47" s="17" t="str">
        <f ca="1">_xlfn.XLOOKUP(__xlnm._FilterDatabase_15717[[#This Row],[SAPSA Number]],Table1[SAPSA number],Table1[Gender])</f>
        <v xml:space="preserve"> </v>
      </c>
      <c r="H47" s="19" t="e">
        <f>_xlfn.XLOOKUP(__xlnm._FilterDatabase_15717[[#This Row],[SAPSA Number]],#REF!,#REF!)</f>
        <v>#REF!</v>
      </c>
      <c r="I47" s="19" t="s">
        <v>242</v>
      </c>
      <c r="J47" s="21">
        <f t="shared" si="4"/>
        <v>0</v>
      </c>
      <c r="K47" s="22">
        <f t="shared" si="5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 t="shared" si="6"/>
        <v>4</v>
      </c>
      <c r="B48" s="89">
        <v>7478</v>
      </c>
      <c r="C48" s="89">
        <f>_xlfn.XLOOKUP(__xlnm._FilterDatabase_15717[[#This Row],[SAPSA Number]],Table1[SAPSA number],Table1[Paid up])</f>
        <v>0</v>
      </c>
      <c r="D48" s="39" t="str">
        <f>_xlfn.XLOOKUP(__xlnm._FilterDatabase_15717[[#This Row],[SAPSA Number]],Table1[SAPSA number],Table1[Name])</f>
        <v>Annemarie</v>
      </c>
      <c r="E48" s="39" t="str">
        <f>_xlfn.XLOOKUP(__xlnm._FilterDatabase_15717[[#This Row],[SAPSA Number]],Table1[SAPSA number],Table1[Surname])</f>
        <v>Pienaar</v>
      </c>
      <c r="F48" s="20" t="str">
        <f>_xlfn.XLOOKUP(__xlnm._FilterDatabase_15717[[#This Row],[SAPSA Number]],Table1[SAPSA number],Table1[Initials])</f>
        <v>A</v>
      </c>
      <c r="G48" s="17" t="str">
        <f>_xlfn.XLOOKUP(__xlnm._FilterDatabase_15717[[#This Row],[SAPSA Number]],Table1[SAPSA number],Table1[Gender])</f>
        <v>Lady</v>
      </c>
      <c r="H48" s="19" t="e">
        <f>_xlfn.XLOOKUP(__xlnm._FilterDatabase_15717[[#This Row],[SAPSA Number]],#REF!,#REF!)</f>
        <v>#REF!</v>
      </c>
      <c r="I48" s="19" t="s">
        <v>242</v>
      </c>
      <c r="J48" s="21">
        <f t="shared" si="4"/>
        <v>0</v>
      </c>
      <c r="K48" s="22">
        <f t="shared" si="5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6"/>
        <v>4</v>
      </c>
      <c r="B49" s="88">
        <v>2950</v>
      </c>
      <c r="C49" s="89">
        <f>_xlfn.XLOOKUP(__xlnm._FilterDatabase_15717[[#This Row],[SAPSA Number]],Table1[SAPSA number],Table1[Paid up])</f>
        <v>0</v>
      </c>
      <c r="D49" s="39" t="str">
        <f>_xlfn.XLOOKUP(__xlnm._FilterDatabase_15717[[#This Row],[SAPSA Number]],Table1[SAPSA number],Table1[Name])</f>
        <v>Renier Jansen</v>
      </c>
      <c r="E49" s="39" t="str">
        <f>_xlfn.XLOOKUP(__xlnm._FilterDatabase_15717[[#This Row],[SAPSA Number]],Table1[SAPSA number],Table1[Surname])</f>
        <v>Reynders</v>
      </c>
      <c r="F49" s="20" t="str">
        <f>_xlfn.XLOOKUP(__xlnm._FilterDatabase_15717[[#This Row],[SAPSA Number]],Table1[SAPSA number],Table1[Initials])</f>
        <v>RJ</v>
      </c>
      <c r="G49" s="17" t="str">
        <f ca="1">_xlfn.XLOOKUP(__xlnm._FilterDatabase_15717[[#This Row],[SAPSA Number]],Table1[SAPSA number],Table1[Gender])</f>
        <v xml:space="preserve"> </v>
      </c>
      <c r="H49" s="19" t="e">
        <f>_xlfn.XLOOKUP(__xlnm._FilterDatabase_15717[[#This Row],[SAPSA Number]],#REF!,#REF!)</f>
        <v>#REF!</v>
      </c>
      <c r="I49" s="19" t="s">
        <v>242</v>
      </c>
      <c r="J49" s="21">
        <f t="shared" si="4"/>
        <v>0</v>
      </c>
      <c r="K49" s="22">
        <f t="shared" si="5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6"/>
        <v>4</v>
      </c>
      <c r="B50" s="88">
        <v>1929</v>
      </c>
      <c r="C50" s="89">
        <f>_xlfn.XLOOKUP(__xlnm._FilterDatabase_15717[[#This Row],[SAPSA Number]],Table1[SAPSA number],Table1[Paid up])</f>
        <v>0</v>
      </c>
      <c r="D50" s="39" t="str">
        <f>_xlfn.XLOOKUP(__xlnm._FilterDatabase_15717[[#This Row],[SAPSA Number]],Table1[SAPSA number],Table1[Name])</f>
        <v>Chris</v>
      </c>
      <c r="E50" s="39" t="str">
        <f>_xlfn.XLOOKUP(__xlnm._FilterDatabase_15717[[#This Row],[SAPSA Number]],Table1[SAPSA number],Table1[Surname])</f>
        <v>Ridout</v>
      </c>
      <c r="F50" s="20" t="str">
        <f>_xlfn.XLOOKUP(__xlnm._FilterDatabase_15717[[#This Row],[SAPSA Number]],Table1[SAPSA number],Table1[Initials])</f>
        <v>CJ</v>
      </c>
      <c r="G50" s="17" t="str">
        <f ca="1">_xlfn.XLOOKUP(__xlnm._FilterDatabase_15717[[#This Row],[SAPSA Number]],Table1[SAPSA number],Table1[Gender])</f>
        <v xml:space="preserve"> </v>
      </c>
      <c r="H50" s="19" t="e">
        <f>_xlfn.XLOOKUP(__xlnm._FilterDatabase_15717[[#This Row],[SAPSA Number]],#REF!,#REF!)</f>
        <v>#REF!</v>
      </c>
      <c r="I50" s="19" t="s">
        <v>242</v>
      </c>
      <c r="J50" s="21">
        <f t="shared" si="4"/>
        <v>0</v>
      </c>
      <c r="K50" s="22">
        <f t="shared" si="5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6"/>
        <v>4</v>
      </c>
      <c r="B51" s="88">
        <v>3822</v>
      </c>
      <c r="C51" s="89" t="str">
        <f>_xlfn.XLOOKUP(__xlnm._FilterDatabase_15717[[#This Row],[SAPSA Number]],Table1[SAPSA number],Table1[Paid up])</f>
        <v>Y</v>
      </c>
      <c r="D51" s="39" t="str">
        <f>_xlfn.XLOOKUP(__xlnm._FilterDatabase_15717[[#This Row],[SAPSA Number]],Table1[SAPSA number],Table1[Name])</f>
        <v>Wayne Erald</v>
      </c>
      <c r="E51" s="39" t="str">
        <f>_xlfn.XLOOKUP(__xlnm._FilterDatabase_15717[[#This Row],[SAPSA Number]],Table1[SAPSA number],Table1[Surname])</f>
        <v>Schmidt</v>
      </c>
      <c r="F51" s="20" t="str">
        <f>_xlfn.XLOOKUP(__xlnm._FilterDatabase_15717[[#This Row],[SAPSA Number]],Table1[SAPSA number],Table1[Initials])</f>
        <v>WE</v>
      </c>
      <c r="G51" s="17" t="str">
        <f ca="1">_xlfn.XLOOKUP(__xlnm._FilterDatabase_15717[[#This Row],[SAPSA Number]],Table1[SAPSA number],Table1[Gender])</f>
        <v>S</v>
      </c>
      <c r="H51" s="19" t="e">
        <f>_xlfn.XLOOKUP(__xlnm._FilterDatabase_15717[[#This Row],[SAPSA Number]],#REF!,#REF!)</f>
        <v>#REF!</v>
      </c>
      <c r="I51" s="19" t="s">
        <v>242</v>
      </c>
      <c r="J51" s="21">
        <f t="shared" si="4"/>
        <v>0</v>
      </c>
      <c r="K51" s="22">
        <f t="shared" si="5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6"/>
        <v>4</v>
      </c>
      <c r="B52" s="88">
        <v>4966</v>
      </c>
      <c r="C52" s="89" t="str">
        <f>_xlfn.XLOOKUP(__xlnm._FilterDatabase_15717[[#This Row],[SAPSA Number]],Table1[SAPSA number],Table1[Paid up])</f>
        <v>Y</v>
      </c>
      <c r="D52" s="39" t="str">
        <f>_xlfn.XLOOKUP(__xlnm._FilterDatabase_15717[[#This Row],[SAPSA Number]],Table1[SAPSA number],Table1[Name])</f>
        <v>Costantinos</v>
      </c>
      <c r="E52" s="39" t="str">
        <f>_xlfn.XLOOKUP(__xlnm._FilterDatabase_15717[[#This Row],[SAPSA Number]],Table1[SAPSA number],Table1[Surname])</f>
        <v>Seindis</v>
      </c>
      <c r="F52" s="20" t="str">
        <f>_xlfn.XLOOKUP(__xlnm._FilterDatabase_15717[[#This Row],[SAPSA Number]],Table1[SAPSA number],Table1[Initials])</f>
        <v>C</v>
      </c>
      <c r="G52" s="17" t="str">
        <f ca="1">_xlfn.XLOOKUP(__xlnm._FilterDatabase_15717[[#This Row],[SAPSA Number]],Table1[SAPSA number],Table1[Gender])</f>
        <v xml:space="preserve"> </v>
      </c>
      <c r="H52" s="19" t="e">
        <f>_xlfn.XLOOKUP(__xlnm._FilterDatabase_15717[[#This Row],[SAPSA Number]],#REF!,#REF!)</f>
        <v>#REF!</v>
      </c>
      <c r="I52" s="19" t="s">
        <v>242</v>
      </c>
      <c r="J52" s="21">
        <f t="shared" si="4"/>
        <v>0</v>
      </c>
      <c r="K52" s="22">
        <f t="shared" si="5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6"/>
        <v>4</v>
      </c>
      <c r="B53" s="88">
        <v>572</v>
      </c>
      <c r="C53" s="89" t="str">
        <f>_xlfn.XLOOKUP(__xlnm._FilterDatabase_15717[[#This Row],[SAPSA Number]],Table1[SAPSA number],Table1[Paid up])</f>
        <v>Y</v>
      </c>
      <c r="D53" s="39" t="str">
        <f>_xlfn.XLOOKUP(__xlnm._FilterDatabase_15717[[#This Row],[SAPSA Number]],Table1[SAPSA number],Table1[Name])</f>
        <v>DJ</v>
      </c>
      <c r="E53" s="39" t="str">
        <f>_xlfn.XLOOKUP(__xlnm._FilterDatabase_15717[[#This Row],[SAPSA Number]],Table1[SAPSA number],Table1[Surname])</f>
        <v>Smith</v>
      </c>
      <c r="F53" s="20" t="str">
        <f>_xlfn.XLOOKUP(__xlnm._FilterDatabase_15717[[#This Row],[SAPSA Number]],Table1[SAPSA number],Table1[Initials])</f>
        <v>DJ</v>
      </c>
      <c r="G53" s="17" t="str">
        <f ca="1">_xlfn.XLOOKUP(__xlnm._FilterDatabase_15717[[#This Row],[SAPSA Number]],Table1[SAPSA number],Table1[Gender])</f>
        <v>SS</v>
      </c>
      <c r="H53" s="19" t="e">
        <f>_xlfn.XLOOKUP(__xlnm._FilterDatabase_15717[[#This Row],[SAPSA Number]],#REF!,#REF!)</f>
        <v>#REF!</v>
      </c>
      <c r="I53" s="19" t="s">
        <v>242</v>
      </c>
      <c r="J53" s="21">
        <f t="shared" si="4"/>
        <v>0</v>
      </c>
      <c r="K53" s="22">
        <f t="shared" si="5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6"/>
        <v>4</v>
      </c>
      <c r="B54" s="88">
        <v>1321</v>
      </c>
      <c r="C54" s="89">
        <f>_xlfn.XLOOKUP(__xlnm._FilterDatabase_15717[[#This Row],[SAPSA Number]],Table1[SAPSA number],Table1[Paid up])</f>
        <v>0</v>
      </c>
      <c r="D54" s="39" t="str">
        <f>_xlfn.XLOOKUP(__xlnm._FilterDatabase_15717[[#This Row],[SAPSA Number]],Table1[SAPSA number],Table1[Name])</f>
        <v>Neal Monisen</v>
      </c>
      <c r="E54" s="39" t="str">
        <f>_xlfn.XLOOKUP(__xlnm._FilterDatabase_15717[[#This Row],[SAPSA Number]],Table1[SAPSA number],Table1[Surname])</f>
        <v>Sokay</v>
      </c>
      <c r="F54" s="20" t="str">
        <f>_xlfn.XLOOKUP(__xlnm._FilterDatabase_15717[[#This Row],[SAPSA Number]],Table1[SAPSA number],Table1[Initials])</f>
        <v>NM</v>
      </c>
      <c r="G54" s="17" t="str">
        <f ca="1">_xlfn.XLOOKUP(__xlnm._FilterDatabase_15717[[#This Row],[SAPSA Number]],Table1[SAPSA number],Table1[Gender])</f>
        <v>S</v>
      </c>
      <c r="H54" s="19" t="e">
        <f>_xlfn.XLOOKUP(__xlnm._FilterDatabase_15717[[#This Row],[SAPSA Number]],#REF!,#REF!)</f>
        <v>#REF!</v>
      </c>
      <c r="I54" s="19" t="s">
        <v>242</v>
      </c>
      <c r="J54" s="21">
        <f t="shared" si="4"/>
        <v>0</v>
      </c>
      <c r="K54" s="22">
        <f t="shared" si="5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6"/>
        <v>4</v>
      </c>
      <c r="B55" s="88">
        <v>3832</v>
      </c>
      <c r="C55" s="89" t="str">
        <f>_xlfn.XLOOKUP(__xlnm._FilterDatabase_15717[[#This Row],[SAPSA Number]],Table1[SAPSA number],Table1[Paid up])</f>
        <v>Y</v>
      </c>
      <c r="D55" s="39" t="str">
        <f>_xlfn.XLOOKUP(__xlnm._FilterDatabase_15717[[#This Row],[SAPSA Number]],Table1[SAPSA number],Table1[Name])</f>
        <v>Dion Rowlands</v>
      </c>
      <c r="E55" s="39" t="str">
        <f>_xlfn.XLOOKUP(__xlnm._FilterDatabase_15717[[#This Row],[SAPSA Number]],Table1[SAPSA number],Table1[Surname])</f>
        <v>Stead</v>
      </c>
      <c r="F55" s="20" t="str">
        <f>_xlfn.XLOOKUP(__xlnm._FilterDatabase_15717[[#This Row],[SAPSA Number]],Table1[SAPSA number],Table1[Initials])</f>
        <v>DR</v>
      </c>
      <c r="G55" s="17" t="str">
        <f ca="1">_xlfn.XLOOKUP(__xlnm._FilterDatabase_15717[[#This Row],[SAPSA Number]],Table1[SAPSA number],Table1[Gender])</f>
        <v>S</v>
      </c>
      <c r="H55" s="19" t="e">
        <f>_xlfn.XLOOKUP(__xlnm._FilterDatabase_15717[[#This Row],[SAPSA Number]],#REF!,#REF!)</f>
        <v>#REF!</v>
      </c>
      <c r="I55" s="19" t="s">
        <v>242</v>
      </c>
      <c r="J55" s="21">
        <f t="shared" si="4"/>
        <v>0</v>
      </c>
      <c r="K55" s="22">
        <f t="shared" si="5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6"/>
        <v>4</v>
      </c>
      <c r="B56" s="88">
        <v>4858</v>
      </c>
      <c r="C56" s="89" t="str">
        <f>_xlfn.XLOOKUP(__xlnm._FilterDatabase_15717[[#This Row],[SAPSA Number]],Table1[SAPSA number],Table1[Paid up])</f>
        <v>Y</v>
      </c>
      <c r="D56" s="39" t="str">
        <f>_xlfn.XLOOKUP(__xlnm._FilterDatabase_15717[[#This Row],[SAPSA Number]],Table1[SAPSA number],Table1[Name])</f>
        <v>Jacques</v>
      </c>
      <c r="E56" s="39" t="str">
        <f>_xlfn.XLOOKUP(__xlnm._FilterDatabase_15717[[#This Row],[SAPSA Number]],Table1[SAPSA number],Table1[Surname])</f>
        <v>Swanepoel</v>
      </c>
      <c r="F56" s="20" t="str">
        <f>_xlfn.XLOOKUP(__xlnm._FilterDatabase_15717[[#This Row],[SAPSA Number]],Table1[SAPSA number],Table1[Initials])</f>
        <v>J</v>
      </c>
      <c r="G56" s="17" t="str">
        <f ca="1">_xlfn.XLOOKUP(__xlnm._FilterDatabase_15717[[#This Row],[SAPSA Number]],Table1[SAPSA number],Table1[Gender])</f>
        <v xml:space="preserve"> </v>
      </c>
      <c r="H56" s="19" t="e">
        <f>_xlfn.XLOOKUP(__xlnm._FilterDatabase_15717[[#This Row],[SAPSA Number]],#REF!,#REF!)</f>
        <v>#REF!</v>
      </c>
      <c r="I56" s="19" t="s">
        <v>242</v>
      </c>
      <c r="J56" s="21">
        <f t="shared" si="4"/>
        <v>0</v>
      </c>
      <c r="K56" s="22">
        <f t="shared" si="5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6"/>
        <v>4</v>
      </c>
      <c r="B57" s="88">
        <v>1113</v>
      </c>
      <c r="C57" s="89" t="str">
        <f>_xlfn.XLOOKUP(__xlnm._FilterDatabase_15717[[#This Row],[SAPSA Number]],Table1[SAPSA number],Table1[Paid up])</f>
        <v>Y</v>
      </c>
      <c r="D57" s="39" t="str">
        <f>_xlfn.XLOOKUP(__xlnm._FilterDatabase_15717[[#This Row],[SAPSA Number]],Table1[SAPSA number],Table1[Name])</f>
        <v>Frik</v>
      </c>
      <c r="E57" s="39" t="str">
        <f>_xlfn.XLOOKUP(__xlnm._FilterDatabase_15717[[#This Row],[SAPSA Number]],Table1[SAPSA number],Table1[Surname])</f>
        <v>Truter</v>
      </c>
      <c r="F57" s="20" t="str">
        <f>_xlfn.XLOOKUP(__xlnm._FilterDatabase_15717[[#This Row],[SAPSA Number]],Table1[SAPSA number],Table1[Initials])</f>
        <v>FC</v>
      </c>
      <c r="G57" s="17" t="str">
        <f ca="1">_xlfn.XLOOKUP(__xlnm._FilterDatabase_15717[[#This Row],[SAPSA Number]],Table1[SAPSA number],Table1[Gender])</f>
        <v>SS</v>
      </c>
      <c r="H57" s="19" t="e">
        <f>_xlfn.XLOOKUP(__xlnm._FilterDatabase_15717[[#This Row],[SAPSA Number]],#REF!,#REF!)</f>
        <v>#REF!</v>
      </c>
      <c r="I57" s="19" t="s">
        <v>242</v>
      </c>
      <c r="J57" s="21">
        <f t="shared" si="4"/>
        <v>0</v>
      </c>
      <c r="K57" s="22">
        <f t="shared" si="5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6"/>
        <v>4</v>
      </c>
      <c r="B58" s="90">
        <v>4672</v>
      </c>
      <c r="C58" s="89" t="str">
        <f>_xlfn.XLOOKUP(__xlnm._FilterDatabase_15717[[#This Row],[SAPSA Number]],Table1[SAPSA number],Table1[Paid up])</f>
        <v>Y</v>
      </c>
      <c r="D58" s="39" t="str">
        <f>_xlfn.XLOOKUP(__xlnm._FilterDatabase_15717[[#This Row],[SAPSA Number]],Table1[SAPSA number],Table1[Name])</f>
        <v>Frederick John</v>
      </c>
      <c r="E58" s="39" t="str">
        <f>_xlfn.XLOOKUP(__xlnm._FilterDatabase_15717[[#This Row],[SAPSA Number]],Table1[SAPSA number],Table1[Surname])</f>
        <v>Turnbull</v>
      </c>
      <c r="F58" s="20" t="str">
        <f>_xlfn.XLOOKUP(__xlnm._FilterDatabase_15717[[#This Row],[SAPSA Number]],Table1[SAPSA number],Table1[Initials])</f>
        <v>FJ</v>
      </c>
      <c r="G58" s="17" t="str">
        <f ca="1">_xlfn.XLOOKUP(__xlnm._FilterDatabase_15717[[#This Row],[SAPSA Number]],Table1[SAPSA number],Table1[Gender])</f>
        <v>SS</v>
      </c>
      <c r="H58" s="19" t="e">
        <f>_xlfn.XLOOKUP(__xlnm._FilterDatabase_15717[[#This Row],[SAPSA Number]],#REF!,#REF!)</f>
        <v>#REF!</v>
      </c>
      <c r="I58" s="19" t="s">
        <v>242</v>
      </c>
      <c r="J58" s="21">
        <f t="shared" si="4"/>
        <v>0</v>
      </c>
      <c r="K58" s="22">
        <f t="shared" si="5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6"/>
        <v>4</v>
      </c>
      <c r="B59" s="90">
        <v>1931</v>
      </c>
      <c r="C59" s="89">
        <f>_xlfn.XLOOKUP(__xlnm._FilterDatabase_15717[[#This Row],[SAPSA Number]],Table1[SAPSA number],Table1[Paid up])</f>
        <v>0</v>
      </c>
      <c r="D59" s="39" t="str">
        <f>_xlfn.XLOOKUP(__xlnm._FilterDatabase_15717[[#This Row],[SAPSA Number]],Table1[SAPSA number],Table1[Name])</f>
        <v>Sylvia</v>
      </c>
      <c r="E59" s="39" t="str">
        <f>_xlfn.XLOOKUP(__xlnm._FilterDatabase_15717[[#This Row],[SAPSA Number]],Table1[SAPSA number],Table1[Surname])</f>
        <v>Van der Neut</v>
      </c>
      <c r="F59" s="20" t="str">
        <f>_xlfn.XLOOKUP(__xlnm._FilterDatabase_15717[[#This Row],[SAPSA Number]],Table1[SAPSA number],Table1[Initials])</f>
        <v>S</v>
      </c>
      <c r="G59" s="17" t="str">
        <f>_xlfn.XLOOKUP(__xlnm._FilterDatabase_15717[[#This Row],[SAPSA Number]],Table1[SAPSA number],Table1[Gender])</f>
        <v>Lady</v>
      </c>
      <c r="H59" s="19" t="e">
        <f>_xlfn.XLOOKUP(__xlnm._FilterDatabase_15717[[#This Row],[SAPSA Number]],#REF!,#REF!)</f>
        <v>#REF!</v>
      </c>
      <c r="I59" s="19" t="s">
        <v>242</v>
      </c>
      <c r="J59" s="21">
        <f t="shared" si="4"/>
        <v>0</v>
      </c>
      <c r="K59" s="22">
        <f t="shared" si="5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6"/>
        <v>4</v>
      </c>
      <c r="B60" s="145">
        <v>6564</v>
      </c>
      <c r="C60" s="89" t="str">
        <f>_xlfn.XLOOKUP(__xlnm._FilterDatabase_15717[[#This Row],[SAPSA Number]],Table1[SAPSA number],Table1[Paid up])</f>
        <v>Y</v>
      </c>
      <c r="D60" s="39" t="str">
        <f>_xlfn.XLOOKUP(__xlnm._FilterDatabase_15717[[#This Row],[SAPSA Number]],Table1[SAPSA number],Table1[Name])</f>
        <v>Kwimton Schalk</v>
      </c>
      <c r="E60" s="39" t="str">
        <f>_xlfn.XLOOKUP(__xlnm._FilterDatabase_15717[[#This Row],[SAPSA Number]],Table1[SAPSA number],Table1[Surname])</f>
        <v>van Jaarsveld</v>
      </c>
      <c r="F60" s="20" t="str">
        <f>_xlfn.XLOOKUP(__xlnm._FilterDatabase_15717[[#This Row],[SAPSA Number]],Table1[SAPSA number],Table1[Initials])</f>
        <v>KS</v>
      </c>
      <c r="G60" s="17" t="str">
        <f ca="1">_xlfn.XLOOKUP(__xlnm._FilterDatabase_15717[[#This Row],[SAPSA Number]],Table1[SAPSA number],Table1[Gender])</f>
        <v xml:space="preserve"> </v>
      </c>
      <c r="H60" s="19" t="e">
        <f>_xlfn.XLOOKUP(__xlnm._FilterDatabase_15717[[#This Row],[SAPSA Number]],#REF!,#REF!)</f>
        <v>#REF!</v>
      </c>
      <c r="I60" s="19" t="s">
        <v>242</v>
      </c>
      <c r="J60" s="21">
        <f t="shared" si="4"/>
        <v>0</v>
      </c>
      <c r="K60" s="22">
        <f t="shared" si="5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6"/>
        <v>4</v>
      </c>
      <c r="B61" s="90">
        <v>5262</v>
      </c>
      <c r="C61" s="89" t="str">
        <f>_xlfn.XLOOKUP(__xlnm._FilterDatabase_15717[[#This Row],[SAPSA Number]],Table1[SAPSA number],Table1[Paid up])</f>
        <v>Y</v>
      </c>
      <c r="D61" s="39" t="str">
        <f>_xlfn.XLOOKUP(__xlnm._FilterDatabase_15717[[#This Row],[SAPSA Number]],Table1[SAPSA number],Table1[Name])</f>
        <v>Andre</v>
      </c>
      <c r="E61" s="39" t="str">
        <f>_xlfn.XLOOKUP(__xlnm._FilterDatabase_15717[[#This Row],[SAPSA Number]],Table1[SAPSA number],Table1[Surname])</f>
        <v>van Rooyen</v>
      </c>
      <c r="F61" s="20" t="str">
        <f>_xlfn.XLOOKUP(__xlnm._FilterDatabase_15717[[#This Row],[SAPSA Number]],Table1[SAPSA number],Table1[Initials])</f>
        <v>A</v>
      </c>
      <c r="G61" s="17" t="str">
        <f ca="1">_xlfn.XLOOKUP(__xlnm._FilterDatabase_15717[[#This Row],[SAPSA Number]],Table1[SAPSA number],Table1[Gender])</f>
        <v xml:space="preserve"> </v>
      </c>
      <c r="H61" s="19" t="e">
        <f>_xlfn.XLOOKUP(__xlnm._FilterDatabase_15717[[#This Row],[SAPSA Number]],#REF!,#REF!)</f>
        <v>#REF!</v>
      </c>
      <c r="I61" s="19" t="s">
        <v>242</v>
      </c>
      <c r="J61" s="21">
        <f t="shared" si="4"/>
        <v>0</v>
      </c>
      <c r="K61" s="22">
        <f t="shared" si="5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6"/>
        <v>4</v>
      </c>
      <c r="B62" s="90">
        <v>5971</v>
      </c>
      <c r="C62" s="89">
        <f>_xlfn.XLOOKUP(__xlnm._FilterDatabase_15717[[#This Row],[SAPSA Number]],Table1[SAPSA number],Table1[Paid up])</f>
        <v>0</v>
      </c>
      <c r="D62" s="39" t="str">
        <f>_xlfn.XLOOKUP(__xlnm._FilterDatabase_15717[[#This Row],[SAPSA Number]],Table1[SAPSA number],Table1[Name])</f>
        <v>Hendrik</v>
      </c>
      <c r="E62" s="39" t="str">
        <f>_xlfn.XLOOKUP(__xlnm._FilterDatabase_15717[[#This Row],[SAPSA Number]],Table1[SAPSA number],Table1[Surname])</f>
        <v>van Rooyen</v>
      </c>
      <c r="F62" s="20" t="str">
        <f>_xlfn.XLOOKUP(__xlnm._FilterDatabase_15717[[#This Row],[SAPSA Number]],Table1[SAPSA number],Table1[Initials])</f>
        <v>H</v>
      </c>
      <c r="G62" s="17" t="str">
        <f ca="1">_xlfn.XLOOKUP(__xlnm._FilterDatabase_15717[[#This Row],[SAPSA Number]],Table1[SAPSA number],Table1[Gender])</f>
        <v>S</v>
      </c>
      <c r="H62" s="19" t="e">
        <f>_xlfn.XLOOKUP(__xlnm._FilterDatabase_15717[[#This Row],[SAPSA Number]],#REF!,#REF!)</f>
        <v>#REF!</v>
      </c>
      <c r="I62" s="19" t="s">
        <v>242</v>
      </c>
      <c r="J62" s="21">
        <f t="shared" si="4"/>
        <v>0</v>
      </c>
      <c r="K62" s="22">
        <f t="shared" si="5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6"/>
        <v>4</v>
      </c>
      <c r="B63" s="90">
        <v>2051</v>
      </c>
      <c r="C63" s="89" t="str">
        <f>_xlfn.XLOOKUP(__xlnm._FilterDatabase_15717[[#This Row],[SAPSA Number]],Table1[SAPSA number],Table1[Paid up])</f>
        <v>Y</v>
      </c>
      <c r="D63" s="39" t="str">
        <f>_xlfn.XLOOKUP(__xlnm._FilterDatabase_15717[[#This Row],[SAPSA Number]],Table1[SAPSA number],Table1[Name])</f>
        <v>Simon Adriaan</v>
      </c>
      <c r="E63" s="39" t="str">
        <f>_xlfn.XLOOKUP(__xlnm._FilterDatabase_15717[[#This Row],[SAPSA Number]],Table1[SAPSA number],Table1[Surname])</f>
        <v>Vermooten</v>
      </c>
      <c r="F63" s="20" t="str">
        <f>_xlfn.XLOOKUP(__xlnm._FilterDatabase_15717[[#This Row],[SAPSA Number]],Table1[SAPSA number],Table1[Initials])</f>
        <v>SA</v>
      </c>
      <c r="G63" s="17" t="str">
        <f ca="1">_xlfn.XLOOKUP(__xlnm._FilterDatabase_15717[[#This Row],[SAPSA Number]],Table1[SAPSA number],Table1[Gender])</f>
        <v>GS</v>
      </c>
      <c r="H63" s="19" t="e">
        <f>_xlfn.XLOOKUP(__xlnm._FilterDatabase_15717[[#This Row],[SAPSA Number]],#REF!,#REF!)</f>
        <v>#REF!</v>
      </c>
      <c r="I63" s="19" t="s">
        <v>242</v>
      </c>
      <c r="J63" s="21">
        <f t="shared" si="4"/>
        <v>0</v>
      </c>
      <c r="K63" s="22">
        <f t="shared" si="5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x14ac:dyDescent="0.3">
      <c r="A64" s="17">
        <f t="shared" si="6"/>
        <v>4</v>
      </c>
      <c r="B64" s="90">
        <v>2089</v>
      </c>
      <c r="C64" s="89" t="str">
        <f>_xlfn.XLOOKUP(__xlnm._FilterDatabase_15717[[#This Row],[SAPSA Number]],Table1[SAPSA number],Table1[Paid up])</f>
        <v>Y</v>
      </c>
      <c r="D64" s="39" t="str">
        <f>_xlfn.XLOOKUP(__xlnm._FilterDatabase_15717[[#This Row],[SAPSA Number]],Table1[SAPSA number],Table1[Name])</f>
        <v>Doané</v>
      </c>
      <c r="E64" s="39" t="str">
        <f>_xlfn.XLOOKUP(__xlnm._FilterDatabase_15717[[#This Row],[SAPSA Number]],Table1[SAPSA number],Table1[Surname])</f>
        <v>Vermooten</v>
      </c>
      <c r="F64" s="20" t="str">
        <f>_xlfn.XLOOKUP(__xlnm._FilterDatabase_15717[[#This Row],[SAPSA Number]],Table1[SAPSA number],Table1[Initials])</f>
        <v>D</v>
      </c>
      <c r="G64" s="17" t="str">
        <f ca="1">_xlfn.XLOOKUP(__xlnm._FilterDatabase_15717[[#This Row],[SAPSA Number]],Table1[SAPSA number],Table1[Gender])</f>
        <v xml:space="preserve"> </v>
      </c>
      <c r="H64" s="19" t="e">
        <f>_xlfn.XLOOKUP(__xlnm._FilterDatabase_15717[[#This Row],[SAPSA Number]],#REF!,#REF!)</f>
        <v>#REF!</v>
      </c>
      <c r="I64" s="19" t="s">
        <v>242</v>
      </c>
      <c r="J64" s="21">
        <f t="shared" si="4"/>
        <v>0</v>
      </c>
      <c r="K64" s="22">
        <f t="shared" si="5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x14ac:dyDescent="0.3">
      <c r="A65" s="17">
        <f t="shared" si="6"/>
        <v>4</v>
      </c>
      <c r="B65" s="90">
        <v>1716</v>
      </c>
      <c r="C65" s="89" t="str">
        <f>_xlfn.XLOOKUP(__xlnm._FilterDatabase_15717[[#This Row],[SAPSA Number]],Table1[SAPSA number],Table1[Paid up])</f>
        <v>Y</v>
      </c>
      <c r="D65" s="39" t="str">
        <f>_xlfn.XLOOKUP(__xlnm._FilterDatabase_15717[[#This Row],[SAPSA Number]],Table1[SAPSA number],Table1[Name])</f>
        <v>Albert</v>
      </c>
      <c r="E65" s="39" t="str">
        <f>_xlfn.XLOOKUP(__xlnm._FilterDatabase_15717[[#This Row],[SAPSA Number]],Table1[SAPSA number],Table1[Surname])</f>
        <v>Wöcke</v>
      </c>
      <c r="F65" s="20" t="str">
        <f>_xlfn.XLOOKUP(__xlnm._FilterDatabase_15717[[#This Row],[SAPSA Number]],Table1[SAPSA number],Table1[Initials])</f>
        <v>A</v>
      </c>
      <c r="G65" s="17" t="str">
        <f ca="1">_xlfn.XLOOKUP(__xlnm._FilterDatabase_15717[[#This Row],[SAPSA Number]],Table1[SAPSA number],Table1[Gender])</f>
        <v>S</v>
      </c>
      <c r="H65" s="19" t="e">
        <f>_xlfn.XLOOKUP(__xlnm._FilterDatabase_15717[[#This Row],[SAPSA Number]],#REF!,#REF!)</f>
        <v>#REF!</v>
      </c>
      <c r="I65" s="19" t="s">
        <v>242</v>
      </c>
      <c r="J65" s="21">
        <f t="shared" si="4"/>
        <v>0</v>
      </c>
      <c r="K65" s="22">
        <f t="shared" si="5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3">
      <c r="A66" s="17">
        <f t="shared" si="6"/>
        <v>4</v>
      </c>
      <c r="B66" s="90">
        <v>206</v>
      </c>
      <c r="C66" s="89">
        <f>_xlfn.XLOOKUP(__xlnm._FilterDatabase_15717[[#This Row],[SAPSA Number]],Table1[SAPSA number],Table1[Paid up])</f>
        <v>0</v>
      </c>
      <c r="D66" s="39" t="str">
        <f>_xlfn.XLOOKUP(__xlnm._FilterDatabase_15717[[#This Row],[SAPSA Number]],Table1[SAPSA number],Table1[Name])</f>
        <v>Pierre Dewald</v>
      </c>
      <c r="E66" s="39" t="str">
        <f>_xlfn.XLOOKUP(__xlnm._FilterDatabase_15717[[#This Row],[SAPSA Number]],Table1[SAPSA number],Table1[Surname])</f>
        <v>Wrogemann</v>
      </c>
      <c r="F66" s="20" t="str">
        <f>_xlfn.XLOOKUP(__xlnm._FilterDatabase_15717[[#This Row],[SAPSA Number]],Table1[SAPSA number],Table1[Initials])</f>
        <v>PD</v>
      </c>
      <c r="G66" s="17" t="str">
        <f ca="1">_xlfn.XLOOKUP(__xlnm._FilterDatabase_15717[[#This Row],[SAPSA Number]],Table1[SAPSA number],Table1[Gender])</f>
        <v>S</v>
      </c>
      <c r="H66" s="19" t="e">
        <f>_xlfn.XLOOKUP(__xlnm._FilterDatabase_15717[[#This Row],[SAPSA Number]],#REF!,#REF!)</f>
        <v>#REF!</v>
      </c>
      <c r="I66" s="19" t="s">
        <v>242</v>
      </c>
      <c r="J66" s="21">
        <f t="shared" si="4"/>
        <v>0</v>
      </c>
      <c r="K66" s="22">
        <f t="shared" ref="K66" si="7">(LARGE(L66:W66,1)+LARGE(L66:W66,2)+LARGE(L66:W66,3)+LARGE(L66:W66,4)+LARGE(L66:W66,5))/5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>
        <f t="shared" si="6"/>
        <v>4</v>
      </c>
      <c r="B67" s="90">
        <v>3810</v>
      </c>
      <c r="C67" s="89"/>
      <c r="D67" s="39" t="str">
        <f>_xlfn.XLOOKUP(__xlnm._FilterDatabase_15717[[#This Row],[SAPSA Number]],Table1[SAPSA number],Table1[Name])</f>
        <v>Roelof</v>
      </c>
      <c r="E67" s="39" t="str">
        <f>_xlfn.XLOOKUP(__xlnm._FilterDatabase_15717[[#This Row],[SAPSA Number]],Table1[SAPSA number],Table1[Surname])</f>
        <v>Liebenberg</v>
      </c>
      <c r="F67" s="20" t="str">
        <f>_xlfn.XLOOKUP(__xlnm._FilterDatabase_15717[[#This Row],[SAPSA Number]],Table1[SAPSA number],Table1[Initials])</f>
        <v>R</v>
      </c>
      <c r="G67" s="17" t="str">
        <f ca="1">_xlfn.XLOOKUP(__xlnm._FilterDatabase_15717[[#This Row],[SAPSA Number]],Table1[SAPSA number],Table1[Gender])</f>
        <v>S</v>
      </c>
      <c r="H67" s="19" t="e">
        <f>_xlfn.XLOOKUP(__xlnm._FilterDatabase_15717[[#This Row],[SAPSA Number]],#REF!,#REF!)</f>
        <v>#REF!</v>
      </c>
      <c r="I67" s="19" t="s">
        <v>242</v>
      </c>
      <c r="J67" s="21">
        <f t="shared" ref="J67" si="8"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 t="shared" ref="K67" si="9">(LARGE(L67:W67,1)+LARGE(L67:W67,2)+LARGE(L67:W67,3)+LARGE(L67:W67,4)+LARGE(L67:W67,5))/5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>
        <f t="shared" si="6"/>
        <v>4</v>
      </c>
      <c r="B68" s="90">
        <v>401</v>
      </c>
      <c r="C68" s="89"/>
      <c r="D68" s="39" t="str">
        <f>_xlfn.XLOOKUP(__xlnm._FilterDatabase_15717[[#This Row],[SAPSA Number]],Table1[SAPSA number],Table1[Name])</f>
        <v>Sebella</v>
      </c>
      <c r="E68" s="39" t="str">
        <f>_xlfn.XLOOKUP(__xlnm._FilterDatabase_15717[[#This Row],[SAPSA Number]],Table1[SAPSA number],Table1[Surname])</f>
        <v>O'Donovan</v>
      </c>
      <c r="F68" s="20" t="str">
        <f>_xlfn.XLOOKUP(__xlnm._FilterDatabase_15717[[#This Row],[SAPSA Number]],Table1[SAPSA number],Table1[Initials])</f>
        <v>S</v>
      </c>
      <c r="G68" s="17" t="str">
        <f>_xlfn.XLOOKUP(__xlnm._FilterDatabase_15717[[#This Row],[SAPSA Number]],Table1[SAPSA number],Table1[Gender])</f>
        <v>Lady</v>
      </c>
      <c r="H68" s="19" t="e">
        <f>_xlfn.XLOOKUP(__xlnm._FilterDatabase_15717[[#This Row],[SAPSA Number]],#REF!,#REF!)</f>
        <v>#REF!</v>
      </c>
      <c r="I68" s="19" t="s">
        <v>242</v>
      </c>
      <c r="J68" s="21">
        <f t="shared" ref="J68:J69" si="10"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 t="shared" ref="K68:K69" si="11">(LARGE(L68:W68,1)+LARGE(L68:W68,2)+LARGE(L68:W68,3)+LARGE(L68:W68,4)+LARGE(L68:W68,5))/5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>
        <f t="shared" si="6"/>
        <v>4</v>
      </c>
      <c r="B69" s="88">
        <v>1547</v>
      </c>
      <c r="C69" s="89"/>
      <c r="D69" s="39" t="str">
        <f>_xlfn.XLOOKUP(__xlnm._FilterDatabase_15717[[#This Row],[SAPSA Number]],Table1[SAPSA number],Table1[Name])</f>
        <v>Marius Frans</v>
      </c>
      <c r="E69" s="39" t="str">
        <f>_xlfn.XLOOKUP(__xlnm._FilterDatabase_15717[[#This Row],[SAPSA Number]],Table1[SAPSA number],Table1[Surname])</f>
        <v>van Biljon</v>
      </c>
      <c r="F69" s="20" t="str">
        <f>_xlfn.XLOOKUP(__xlnm._FilterDatabase_15717[[#This Row],[SAPSA Number]],Table1[SAPSA number],Table1[Initials])</f>
        <v>MF</v>
      </c>
      <c r="G69" s="17" t="str">
        <f ca="1">_xlfn.XLOOKUP(__xlnm._FilterDatabase_15717[[#This Row],[SAPSA Number]],Table1[SAPSA number],Table1[Gender])</f>
        <v>S</v>
      </c>
      <c r="H69" s="19" t="e">
        <f>_xlfn.XLOOKUP(__xlnm._FilterDatabase_15717[[#This Row],[SAPSA Number]],#REF!,#REF!)</f>
        <v>#REF!</v>
      </c>
      <c r="I69" s="19" t="s">
        <v>242</v>
      </c>
      <c r="J69" s="21">
        <f t="shared" si="10"/>
        <v>0</v>
      </c>
      <c r="K69" s="22">
        <f t="shared" si="11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ref="A70" si="12">RANK(K70,K$2:K$141,0)</f>
        <v>4</v>
      </c>
      <c r="B70" s="88">
        <v>3837</v>
      </c>
      <c r="C70" s="89"/>
      <c r="D70" s="39" t="str">
        <f>_xlfn.XLOOKUP(__xlnm._FilterDatabase_15717[[#This Row],[SAPSA Number]],Table1[SAPSA number],Table1[Name])</f>
        <v>Daneel</v>
      </c>
      <c r="E70" s="39" t="str">
        <f>_xlfn.XLOOKUP(__xlnm._FilterDatabase_15717[[#This Row],[SAPSA Number]],Table1[SAPSA number],Table1[Surname])</f>
        <v>van eck</v>
      </c>
      <c r="F70" s="20" t="str">
        <f>_xlfn.XLOOKUP(__xlnm._FilterDatabase_15717[[#This Row],[SAPSA Number]],Table1[SAPSA number],Table1[Initials])</f>
        <v>DJ</v>
      </c>
      <c r="G70" s="17" t="str">
        <f ca="1">_xlfn.XLOOKUP(__xlnm._FilterDatabase_15717[[#This Row],[SAPSA Number]],Table1[SAPSA number],Table1[Gender])</f>
        <v xml:space="preserve"> </v>
      </c>
      <c r="H70" s="19" t="e">
        <f>_xlfn.XLOOKUP(__xlnm._FilterDatabase_15717[[#This Row],[SAPSA Number]],#REF!,#REF!)</f>
        <v>#REF!</v>
      </c>
      <c r="I70" s="19" t="s">
        <v>242</v>
      </c>
      <c r="J70" s="21">
        <f t="shared" ref="J70" si="13"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 t="shared" ref="K70" si="14">(LARGE(L70:W70,1)+LARGE(L70:W70,2)+LARGE(L70:W70,3)+LARGE(L70:W70,4)+LARGE(L70:W70,5))/5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98"/>
      <c r="C71" s="89"/>
      <c r="D71" s="39"/>
      <c r="E71" s="39"/>
      <c r="F71" s="20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x14ac:dyDescent="0.3">
      <c r="A72" s="17"/>
      <c r="B72" s="90"/>
      <c r="C72" s="89"/>
      <c r="D72" s="39"/>
      <c r="E72" s="39"/>
      <c r="F72" s="20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31"/>
      <c r="B73" s="94"/>
      <c r="C73" s="89"/>
      <c r="D73" s="39"/>
      <c r="E73" s="39"/>
      <c r="F73" s="20"/>
      <c r="G73" s="17"/>
      <c r="H73" s="19"/>
      <c r="I73" s="19"/>
      <c r="J73" s="34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31"/>
      <c r="B74" s="96"/>
      <c r="C74" s="89"/>
      <c r="D74" s="39"/>
      <c r="E74" s="39"/>
      <c r="F74" s="20"/>
      <c r="G74" s="17"/>
      <c r="H74" s="19"/>
      <c r="I74" s="19"/>
      <c r="J74" s="34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31"/>
      <c r="B75" s="94"/>
      <c r="C75" s="89"/>
      <c r="D75" s="39"/>
      <c r="E75" s="39"/>
      <c r="F75" s="20"/>
      <c r="G75" s="17"/>
      <c r="H75" s="19"/>
      <c r="I75" s="19"/>
      <c r="J75" s="34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31"/>
      <c r="B76" s="94"/>
      <c r="C76" s="89"/>
      <c r="D76" s="39"/>
      <c r="E76" s="39"/>
      <c r="F76" s="20"/>
      <c r="G76" s="17"/>
      <c r="H76" s="19"/>
      <c r="I76" s="19"/>
      <c r="J76" s="34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x14ac:dyDescent="0.3">
      <c r="A77" s="31"/>
      <c r="B77" s="94"/>
      <c r="C77" s="89"/>
      <c r="D77" s="39"/>
      <c r="E77" s="39"/>
      <c r="F77" s="20"/>
      <c r="G77" s="17"/>
      <c r="H77" s="19"/>
      <c r="I77" s="19"/>
      <c r="J77" s="34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x14ac:dyDescent="0.3">
      <c r="A78" s="31"/>
      <c r="B78" s="94"/>
      <c r="C78" s="89"/>
      <c r="D78" s="39"/>
      <c r="E78" s="39"/>
      <c r="F78" s="20"/>
      <c r="G78" s="17"/>
      <c r="H78" s="19"/>
      <c r="I78" s="19"/>
      <c r="J78" s="34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x14ac:dyDescent="0.3">
      <c r="A79" s="35"/>
      <c r="B79" s="94"/>
      <c r="C79" s="89"/>
      <c r="D79" s="39"/>
      <c r="E79" s="39"/>
      <c r="F79" s="20"/>
      <c r="G79" s="17"/>
      <c r="H79" s="19"/>
      <c r="I79" s="19"/>
      <c r="J79" s="34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35"/>
      <c r="B80" s="146"/>
      <c r="C80" s="89"/>
      <c r="D80" s="39"/>
      <c r="E80" s="39"/>
      <c r="F80" s="20"/>
      <c r="G80" s="17"/>
      <c r="H80" s="19"/>
      <c r="I80" s="19"/>
      <c r="J80" s="34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x14ac:dyDescent="0.3">
      <c r="A81" s="35"/>
      <c r="B81" s="94"/>
      <c r="C81" s="89"/>
      <c r="D81" s="39"/>
      <c r="E81" s="39"/>
      <c r="F81" s="20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35"/>
      <c r="B82" s="94"/>
      <c r="C82" s="89"/>
      <c r="D82" s="39"/>
      <c r="E82" s="39"/>
      <c r="F82" s="20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35"/>
      <c r="B83" s="94"/>
      <c r="C83" s="89"/>
      <c r="D83" s="39"/>
      <c r="E83" s="39"/>
      <c r="F83" s="20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35"/>
      <c r="B84" s="93"/>
      <c r="C84" s="89"/>
      <c r="D84" s="39"/>
      <c r="E84" s="39"/>
      <c r="F84" s="20"/>
      <c r="G84" s="17"/>
      <c r="H84" s="19"/>
      <c r="I84" s="19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35"/>
      <c r="B85" s="94"/>
      <c r="C85" s="89"/>
      <c r="D85" s="39"/>
      <c r="E85" s="39"/>
      <c r="F85" s="20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35"/>
      <c r="B86" s="93"/>
      <c r="C86" s="89"/>
      <c r="D86" s="39"/>
      <c r="E86" s="39"/>
      <c r="F86" s="20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31"/>
      <c r="B87" s="93"/>
      <c r="C87" s="89"/>
      <c r="D87" s="39"/>
      <c r="E87" s="39"/>
      <c r="F87" s="20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31"/>
      <c r="B88" s="93"/>
      <c r="C88" s="89"/>
      <c r="D88" s="39"/>
      <c r="E88" s="39"/>
      <c r="F88" s="20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1"/>
      <c r="B89" s="93"/>
      <c r="C89" s="89"/>
      <c r="D89" s="39"/>
      <c r="E89" s="39"/>
      <c r="F89" s="20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5"/>
      <c r="B90" s="146"/>
      <c r="C90" s="89"/>
      <c r="D90" s="39"/>
      <c r="E90" s="39"/>
      <c r="F90" s="20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5"/>
      <c r="B91" s="94"/>
      <c r="C91" s="89"/>
      <c r="D91" s="39"/>
      <c r="E91" s="39"/>
      <c r="F91" s="20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5"/>
      <c r="B92" s="94"/>
      <c r="C92" s="89"/>
      <c r="D92" s="39"/>
      <c r="E92" s="39"/>
      <c r="F92" s="20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31"/>
      <c r="B93" s="93"/>
      <c r="C93" s="89"/>
      <c r="D93" s="39"/>
      <c r="E93" s="39"/>
      <c r="F93" s="20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1"/>
      <c r="B94" s="94"/>
      <c r="C94" s="89"/>
      <c r="D94" s="39"/>
      <c r="E94" s="39"/>
      <c r="F94" s="20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1"/>
      <c r="B95" s="93"/>
      <c r="C95" s="89"/>
      <c r="D95" s="39"/>
      <c r="E95" s="39"/>
      <c r="F95" s="20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1"/>
      <c r="B96" s="94"/>
      <c r="C96" s="89"/>
      <c r="D96" s="39"/>
      <c r="E96" s="39"/>
      <c r="F96" s="20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1"/>
      <c r="B97" s="93"/>
      <c r="C97" s="89"/>
      <c r="D97" s="39"/>
      <c r="E97" s="39"/>
      <c r="F97" s="20"/>
      <c r="G97" s="17"/>
      <c r="H97" s="19"/>
      <c r="I97" s="19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1"/>
      <c r="B98" s="94"/>
      <c r="C98" s="89"/>
      <c r="D98" s="39"/>
      <c r="E98" s="39"/>
      <c r="F98" s="20"/>
      <c r="G98" s="17"/>
      <c r="H98" s="19"/>
      <c r="I98" s="19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1"/>
      <c r="B99" s="93"/>
      <c r="C99" s="89"/>
      <c r="D99" s="39"/>
      <c r="E99" s="39"/>
      <c r="F99" s="20"/>
      <c r="G99" s="17"/>
      <c r="H99" s="19"/>
      <c r="I99" s="19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31"/>
      <c r="B100" s="93"/>
      <c r="C100" s="89"/>
      <c r="D100" s="39"/>
      <c r="E100" s="39"/>
      <c r="F100" s="20"/>
      <c r="G100" s="17"/>
      <c r="H100" s="19"/>
      <c r="I100" s="19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31"/>
      <c r="B101" s="93"/>
      <c r="C101" s="89"/>
      <c r="D101" s="39"/>
      <c r="E101" s="39"/>
      <c r="F101" s="20"/>
      <c r="G101" s="17"/>
      <c r="H101" s="19"/>
      <c r="I101" s="19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1"/>
      <c r="B102" s="94"/>
      <c r="C102" s="89"/>
      <c r="D102" s="39"/>
      <c r="E102" s="39"/>
      <c r="F102" s="20"/>
      <c r="G102" s="17"/>
      <c r="H102" s="19"/>
      <c r="I102" s="19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31"/>
      <c r="B103" s="93"/>
      <c r="C103" s="89"/>
      <c r="D103" s="39"/>
      <c r="E103" s="39"/>
      <c r="F103" s="20"/>
      <c r="G103" s="17"/>
      <c r="H103" s="19"/>
      <c r="I103" s="19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93"/>
      <c r="C104" s="89"/>
      <c r="D104" s="39"/>
      <c r="E104" s="39"/>
      <c r="F104" s="20"/>
      <c r="G104" s="17"/>
      <c r="H104" s="19"/>
      <c r="I104" s="19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x14ac:dyDescent="0.3">
      <c r="A105" s="31"/>
      <c r="B105" s="93"/>
      <c r="C105" s="89"/>
      <c r="D105" s="39"/>
      <c r="E105" s="39"/>
      <c r="F105" s="20"/>
      <c r="G105" s="17"/>
      <c r="H105" s="19"/>
      <c r="I105" s="19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x14ac:dyDescent="0.3">
      <c r="A106" s="31"/>
      <c r="B106" s="94"/>
      <c r="C106" s="89"/>
      <c r="D106" s="39"/>
      <c r="E106" s="39"/>
      <c r="F106" s="20"/>
      <c r="G106" s="17"/>
      <c r="H106" s="19"/>
      <c r="I106" s="19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31"/>
      <c r="B107" s="93"/>
      <c r="C107" s="89"/>
      <c r="D107" s="39"/>
      <c r="E107" s="39"/>
      <c r="F107" s="20"/>
      <c r="G107" s="17"/>
      <c r="H107" s="19"/>
      <c r="I107" s="19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x14ac:dyDescent="0.3">
      <c r="A108" s="31"/>
      <c r="B108" s="93"/>
      <c r="C108" s="89"/>
      <c r="D108" s="39"/>
      <c r="E108" s="39"/>
      <c r="F108" s="20"/>
      <c r="G108" s="17"/>
      <c r="H108" s="19"/>
      <c r="I108" s="19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31"/>
      <c r="B109" s="93"/>
      <c r="C109" s="89"/>
      <c r="D109" s="39"/>
      <c r="E109" s="39"/>
      <c r="F109" s="20"/>
      <c r="G109" s="17"/>
      <c r="H109" s="19"/>
      <c r="I109" s="19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43"/>
      <c r="C110" s="89"/>
      <c r="D110" s="39"/>
      <c r="E110" s="39"/>
      <c r="F110" s="20"/>
      <c r="G110" s="17"/>
      <c r="H110" s="19"/>
      <c r="I110" s="19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93"/>
      <c r="C111" s="89"/>
      <c r="D111" s="39"/>
      <c r="E111" s="39"/>
      <c r="F111" s="20"/>
      <c r="G111" s="17"/>
      <c r="H111" s="19"/>
      <c r="I111" s="19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93"/>
      <c r="C112" s="89"/>
      <c r="D112" s="39"/>
      <c r="E112" s="39"/>
      <c r="F112" s="20"/>
      <c r="G112" s="17"/>
      <c r="H112" s="19"/>
      <c r="I112" s="19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93"/>
      <c r="C113" s="89"/>
      <c r="D113" s="39"/>
      <c r="E113" s="39"/>
      <c r="F113" s="20"/>
      <c r="G113" s="17"/>
      <c r="H113" s="19"/>
      <c r="I113" s="19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94"/>
      <c r="C114" s="89"/>
      <c r="D114" s="39"/>
      <c r="E114" s="39"/>
      <c r="F114" s="20"/>
      <c r="G114" s="17"/>
      <c r="H114" s="19"/>
      <c r="I114" s="19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93"/>
      <c r="C115" s="89"/>
      <c r="D115" s="39"/>
      <c r="E115" s="39"/>
      <c r="F115" s="20"/>
      <c r="G115" s="17"/>
      <c r="H115" s="19"/>
      <c r="I115" s="19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93"/>
      <c r="C116" s="89"/>
      <c r="D116" s="39"/>
      <c r="E116" s="39"/>
      <c r="F116" s="20"/>
      <c r="G116" s="17"/>
      <c r="H116" s="19"/>
      <c r="I116" s="19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93"/>
      <c r="C117" s="89"/>
      <c r="D117" s="39"/>
      <c r="E117" s="39"/>
      <c r="F117" s="20"/>
      <c r="G117" s="17"/>
      <c r="H117" s="19"/>
      <c r="I117" s="19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93"/>
      <c r="C118" s="89"/>
      <c r="D118" s="39"/>
      <c r="E118" s="39"/>
      <c r="F118" s="20"/>
      <c r="G118" s="17"/>
      <c r="H118" s="19"/>
      <c r="I118" s="19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93"/>
      <c r="C119" s="89"/>
      <c r="D119" s="39"/>
      <c r="E119" s="39"/>
      <c r="F119" s="20"/>
      <c r="G119" s="17"/>
      <c r="H119" s="19"/>
      <c r="I119" s="19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93"/>
      <c r="C120" s="89"/>
      <c r="D120" s="39"/>
      <c r="E120" s="39"/>
      <c r="F120" s="20"/>
      <c r="G120" s="17"/>
      <c r="H120" s="19"/>
      <c r="I120" s="19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94"/>
      <c r="C121" s="89"/>
      <c r="D121" s="39"/>
      <c r="E121" s="39"/>
      <c r="F121" s="20"/>
      <c r="G121" s="17"/>
      <c r="H121" s="19"/>
      <c r="I121" s="19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96"/>
      <c r="C122" s="89"/>
      <c r="D122" s="39"/>
      <c r="E122" s="39"/>
      <c r="F122" s="20"/>
      <c r="G122" s="17"/>
      <c r="H122" s="19"/>
      <c r="I122" s="19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93"/>
      <c r="C123" s="89"/>
      <c r="D123" s="39"/>
      <c r="E123" s="39"/>
      <c r="F123" s="20"/>
      <c r="G123" s="17"/>
      <c r="H123" s="19"/>
      <c r="I123" s="19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94"/>
      <c r="C124" s="89"/>
      <c r="D124" s="39"/>
      <c r="E124" s="39"/>
      <c r="F124" s="20"/>
      <c r="G124" s="17"/>
      <c r="H124" s="19"/>
      <c r="I124" s="19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94"/>
      <c r="C125" s="89"/>
      <c r="D125" s="39"/>
      <c r="E125" s="39"/>
      <c r="F125" s="20"/>
      <c r="G125" s="17"/>
      <c r="H125" s="19"/>
      <c r="I125" s="19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93"/>
      <c r="C126" s="89"/>
      <c r="D126" s="39"/>
      <c r="E126" s="39"/>
      <c r="F126" s="20"/>
      <c r="G126" s="17"/>
      <c r="H126" s="19"/>
      <c r="I126" s="19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</sheetData>
  <conditionalFormatting sqref="G2:G126">
    <cfRule type="cellIs" dxfId="10" priority="2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A3E7-5C27-44FA-854C-E343A30B427D}">
  <sheetPr>
    <tabColor theme="4"/>
  </sheetPr>
  <dimension ref="A1:AMJ126"/>
  <sheetViews>
    <sheetView zoomScale="80" zoomScaleNormal="80" workbookViewId="0">
      <pane xSplit="9" ySplit="1" topLeftCell="J2" activePane="bottomRight" state="frozen"/>
      <selection activeCell="D82" sqref="D82"/>
      <selection pane="topRight" activeCell="D82" sqref="D82"/>
      <selection pane="bottomLeft" activeCell="D82" sqref="D82"/>
      <selection pane="bottomRight" activeCell="B71" sqref="B71"/>
    </sheetView>
  </sheetViews>
  <sheetFormatPr defaultRowHeight="14.4" x14ac:dyDescent="0.3"/>
  <cols>
    <col min="1" max="1" width="10.44140625" style="37" bestFit="1" customWidth="1"/>
    <col min="2" max="2" width="10.33203125" style="63" customWidth="1"/>
    <col min="3" max="3" width="10.33203125" style="63" hidden="1" customWidth="1"/>
    <col min="4" max="4" width="19.109375" style="16" customWidth="1"/>
    <col min="5" max="5" width="16.109375" style="16" bestFit="1" customWidth="1"/>
    <col min="6" max="6" width="8.109375" style="16" customWidth="1"/>
    <col min="7" max="7" width="6.6640625" style="16" customWidth="1"/>
    <col min="8" max="8" width="7.109375" style="16" hidden="1" customWidth="1"/>
    <col min="9" max="9" width="9" style="16" customWidth="1"/>
    <col min="10" max="10" width="7.33203125" style="16" customWidth="1"/>
    <col min="11" max="11" width="8.109375" style="38" customWidth="1"/>
    <col min="12" max="23" width="6.88671875" style="16" customWidth="1"/>
    <col min="24" max="1024" width="10.33203125" style="16" customWidth="1"/>
  </cols>
  <sheetData>
    <row r="1" spans="1:23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223</v>
      </c>
      <c r="N1" s="14" t="s">
        <v>224</v>
      </c>
      <c r="O1" s="14" t="s">
        <v>225</v>
      </c>
      <c r="P1" s="14" t="s">
        <v>217</v>
      </c>
      <c r="Q1" s="14" t="s">
        <v>226</v>
      </c>
      <c r="R1" s="14" t="s">
        <v>227</v>
      </c>
      <c r="S1" s="14" t="s">
        <v>228</v>
      </c>
      <c r="T1" s="14" t="s">
        <v>229</v>
      </c>
      <c r="U1" s="14" t="s">
        <v>230</v>
      </c>
      <c r="V1" s="14" t="s">
        <v>231</v>
      </c>
      <c r="W1" s="14" t="s">
        <v>232</v>
      </c>
    </row>
    <row r="2" spans="1:23" ht="14.4" customHeight="1" x14ac:dyDescent="0.3">
      <c r="A2" s="17">
        <f>RANK(K2,K$2:K$141,0)</f>
        <v>1</v>
      </c>
      <c r="B2" s="89">
        <v>1777</v>
      </c>
      <c r="C2" s="88" t="str">
        <f>_xlfn.XLOOKUP(__xlnm._FilterDatabase_1571718[[#This Row],[SAPSA Number]],Table1[SAPSA number],Table1[Paid up])</f>
        <v>Y</v>
      </c>
      <c r="D2" s="39" t="str">
        <f>_xlfn.XLOOKUP(__xlnm._FilterDatabase_1571718[[#This Row],[SAPSA Number]],Table1[SAPSA number],Table1[Name])</f>
        <v xml:space="preserve">Leon </v>
      </c>
      <c r="E2" s="39" t="str">
        <f>_xlfn.XLOOKUP(__xlnm._FilterDatabase_1571718[[#This Row],[SAPSA Number]],Table1[SAPSA number],Table1[Surname])</f>
        <v>Myburgh</v>
      </c>
      <c r="F2" s="20" t="str">
        <f>_xlfn.XLOOKUP(__xlnm._FilterDatabase_1571718[[#This Row],[SAPSA Number]],Table1[SAPSA number],Table1[Initials])</f>
        <v>LC</v>
      </c>
      <c r="G2" s="17" t="str">
        <f ca="1">_xlfn.XLOOKUP(__xlnm._FilterDatabase_1571718[[#This Row],[SAPSA Number]],Table1[SAPSA number],Table1[Gender])</f>
        <v>S</v>
      </c>
      <c r="H2" s="19">
        <f ca="1">_xlfn.XLOOKUP(__xlnm._FilterDatabase_1[[#This Row],[SAPSA Number]],Table1[SAPSA number],Table1[Age])</f>
        <v>66</v>
      </c>
      <c r="I2" s="19" t="s">
        <v>242</v>
      </c>
      <c r="J2" s="21">
        <f t="shared" ref="J2:J33" si="0">(IF(L2&gt;0,1,0)+(IF(M2&gt;0,1,0))+(IF(N2&gt;0,1,0))+(IF(O2&gt;0,1,0))+(IF(P2&gt;0,1,0))+(IF(Q2&gt;0,1,0))+(IF(R2&gt;0,1,0))+(IF(S2&gt;0,1,0))+(IF(T2&gt;0,1,0))+(IF(U2&gt;0,1,0))+(IF(V2&gt;0,1,0))+(IF(W2&gt;0,1,0)))</f>
        <v>1</v>
      </c>
      <c r="K2" s="22">
        <f t="shared" ref="K2:K33" si="1">(LARGE(L2:U2,1)+LARGE(L2:U2,2)+LARGE(L2:U2,3)+LARGE(L2:U2,4)+LARGE(L2:U2,5))/5</f>
        <v>20</v>
      </c>
      <c r="L2" s="23">
        <v>0</v>
      </c>
      <c r="M2" s="24">
        <v>100</v>
      </c>
      <c r="N2" s="23">
        <v>0</v>
      </c>
      <c r="O2" s="24">
        <v>0</v>
      </c>
      <c r="P2" s="23">
        <v>0</v>
      </c>
      <c r="Q2" s="80">
        <v>0</v>
      </c>
      <c r="R2" s="79">
        <v>0</v>
      </c>
      <c r="S2" s="80">
        <v>0</v>
      </c>
      <c r="T2" s="79">
        <v>0</v>
      </c>
      <c r="U2" s="80">
        <v>0</v>
      </c>
      <c r="V2" s="79">
        <v>0</v>
      </c>
      <c r="W2" s="80">
        <v>0</v>
      </c>
    </row>
    <row r="3" spans="1:23" ht="14.4" customHeight="1" x14ac:dyDescent="0.3">
      <c r="A3" s="17">
        <f>RANK(K3,K$2:K$141,0)</f>
        <v>2</v>
      </c>
      <c r="B3" s="88">
        <v>1471</v>
      </c>
      <c r="C3" s="88" t="str">
        <f>_xlfn.XLOOKUP(__xlnm._FilterDatabase_1571718[[#This Row],[SAPSA Number]],Table1[SAPSA number],Table1[Paid up])</f>
        <v>Y</v>
      </c>
      <c r="D3" s="39" t="str">
        <f>_xlfn.XLOOKUP(__xlnm._FilterDatabase_1571718[[#This Row],[SAPSA Number]],Table1[SAPSA number],Table1[Name])</f>
        <v>Nikolaus Phillip Karl</v>
      </c>
      <c r="E3" s="39" t="str">
        <f>_xlfn.XLOOKUP(__xlnm._FilterDatabase_1571718[[#This Row],[SAPSA Number]],Table1[SAPSA number],Table1[Surname])</f>
        <v>Bernhard</v>
      </c>
      <c r="F3" s="20" t="str">
        <f>_xlfn.XLOOKUP(__xlnm._FilterDatabase_1571718[[#This Row],[SAPSA Number]],Table1[SAPSA number],Table1[Initials])</f>
        <v>NPK</v>
      </c>
      <c r="G3" s="17" t="str">
        <f ca="1">_xlfn.XLOOKUP(__xlnm._FilterDatabase_1571718[[#This Row],[SAPSA Number]],Table1[SAPSA number],Table1[Gender])</f>
        <v xml:space="preserve"> </v>
      </c>
      <c r="H3" s="19" t="e">
        <f>_xlfn.XLOOKUP(__xlnm._FilterDatabase_1571718[[#This Row],[SAPSA Number]],#REF!,#REF!)</f>
        <v>#REF!</v>
      </c>
      <c r="I3" s="19" t="s">
        <v>242</v>
      </c>
      <c r="J3" s="21">
        <f t="shared" si="0"/>
        <v>0</v>
      </c>
      <c r="K3" s="22">
        <f t="shared" si="1"/>
        <v>0</v>
      </c>
      <c r="L3" s="23">
        <v>0</v>
      </c>
      <c r="M3" s="24">
        <v>0</v>
      </c>
      <c r="N3" s="23">
        <v>0</v>
      </c>
      <c r="O3" s="24">
        <v>0</v>
      </c>
      <c r="P3" s="23">
        <v>0</v>
      </c>
      <c r="Q3" s="24">
        <v>0</v>
      </c>
      <c r="R3" s="23">
        <v>0</v>
      </c>
      <c r="S3" s="24">
        <v>0</v>
      </c>
      <c r="T3" s="23">
        <v>0</v>
      </c>
      <c r="U3" s="24">
        <v>0</v>
      </c>
      <c r="V3" s="23">
        <v>0</v>
      </c>
      <c r="W3" s="24">
        <v>0</v>
      </c>
    </row>
    <row r="4" spans="1:23" ht="14.4" customHeight="1" x14ac:dyDescent="0.3">
      <c r="A4" s="17">
        <f>RANK(K4,K$2:K$141,0)</f>
        <v>2</v>
      </c>
      <c r="B4" s="88">
        <v>4624</v>
      </c>
      <c r="C4" s="88" t="str">
        <f>_xlfn.XLOOKUP(__xlnm._FilterDatabase_1571718[[#This Row],[SAPSA Number]],Table1[SAPSA number],Table1[Paid up])</f>
        <v>Y</v>
      </c>
      <c r="D4" s="39" t="str">
        <f>_xlfn.XLOOKUP(__xlnm._FilterDatabase_1571718[[#This Row],[SAPSA Number]],Table1[SAPSA number],Table1[Name])</f>
        <v>Stephanus Christiaan</v>
      </c>
      <c r="E4" s="39" t="str">
        <f>_xlfn.XLOOKUP(__xlnm._FilterDatabase_1571718[[#This Row],[SAPSA Number]],Table1[SAPSA number],Table1[Surname])</f>
        <v>Bester</v>
      </c>
      <c r="F4" s="20" t="str">
        <f>_xlfn.XLOOKUP(__xlnm._FilterDatabase_1571718[[#This Row],[SAPSA Number]],Table1[SAPSA number],Table1[Initials])</f>
        <v>SC</v>
      </c>
      <c r="G4" s="17" t="str">
        <f ca="1">_xlfn.XLOOKUP(__xlnm._FilterDatabase_1571718[[#This Row],[SAPSA Number]],Table1[SAPSA number],Table1[Gender])</f>
        <v>S</v>
      </c>
      <c r="H4" s="19" t="e">
        <f>_xlfn.XLOOKUP(__xlnm._FilterDatabase_1571718[[#This Row],[SAPSA Number]],#REF!,#REF!)</f>
        <v>#REF!</v>
      </c>
      <c r="I4" s="19" t="s">
        <v>242</v>
      </c>
      <c r="J4" s="21">
        <f t="shared" si="0"/>
        <v>0</v>
      </c>
      <c r="K4" s="22">
        <f t="shared" si="1"/>
        <v>0</v>
      </c>
      <c r="L4" s="23">
        <v>0</v>
      </c>
      <c r="M4" s="24">
        <v>0</v>
      </c>
      <c r="N4" s="23">
        <v>0</v>
      </c>
      <c r="O4" s="24">
        <v>0</v>
      </c>
      <c r="P4" s="23">
        <v>0</v>
      </c>
      <c r="Q4" s="24">
        <v>0</v>
      </c>
      <c r="R4" s="23">
        <v>0</v>
      </c>
      <c r="S4" s="24">
        <v>0</v>
      </c>
      <c r="T4" s="23">
        <v>0</v>
      </c>
      <c r="U4" s="24">
        <v>0</v>
      </c>
      <c r="V4" s="23">
        <v>0</v>
      </c>
      <c r="W4" s="24">
        <v>0</v>
      </c>
    </row>
    <row r="5" spans="1:23" ht="14.4" customHeight="1" x14ac:dyDescent="0.3">
      <c r="A5" s="17">
        <f>RANK(K5,K$2:K$141,0)</f>
        <v>2</v>
      </c>
      <c r="B5" s="88">
        <v>7431</v>
      </c>
      <c r="C5" s="88">
        <f>_xlfn.XLOOKUP(__xlnm._FilterDatabase_1571718[[#This Row],[SAPSA Number]],Table1[SAPSA number],Table1[Paid up])</f>
        <v>0</v>
      </c>
      <c r="D5" s="39" t="str">
        <f>_xlfn.XLOOKUP(__xlnm._FilterDatabase_1571718[[#This Row],[SAPSA Number]],Table1[SAPSA number],Table1[Name])</f>
        <v>Anton</v>
      </c>
      <c r="E5" s="39" t="str">
        <f>_xlfn.XLOOKUP(__xlnm._FilterDatabase_1571718[[#This Row],[SAPSA Number]],Table1[SAPSA number],Table1[Surname])</f>
        <v>Booyse</v>
      </c>
      <c r="F5" s="20" t="str">
        <f>_xlfn.XLOOKUP(__xlnm._FilterDatabase_1571718[[#This Row],[SAPSA Number]],Table1[SAPSA number],Table1[Initials])</f>
        <v>A</v>
      </c>
      <c r="G5" s="17">
        <f>_xlfn.XLOOKUP(__xlnm._FilterDatabase_1571718[[#This Row],[SAPSA Number]],Table1[SAPSA number],Table1[Gender])</f>
        <v>0</v>
      </c>
      <c r="H5" s="19" t="e">
        <f>_xlfn.XLOOKUP(__xlnm._FilterDatabase_1571718[[#This Row],[SAPSA Number]],#REF!,#REF!)</f>
        <v>#REF!</v>
      </c>
      <c r="I5" s="19" t="s">
        <v>242</v>
      </c>
      <c r="J5" s="21">
        <f t="shared" si="0"/>
        <v>0</v>
      </c>
      <c r="K5" s="22">
        <f t="shared" si="1"/>
        <v>0</v>
      </c>
      <c r="L5" s="23">
        <v>0</v>
      </c>
      <c r="M5" s="24">
        <v>0</v>
      </c>
      <c r="N5" s="23">
        <v>0</v>
      </c>
      <c r="O5" s="24">
        <v>0</v>
      </c>
      <c r="P5" s="23">
        <v>0</v>
      </c>
      <c r="Q5" s="24">
        <v>0</v>
      </c>
      <c r="R5" s="23">
        <v>0</v>
      </c>
      <c r="S5" s="24">
        <v>0</v>
      </c>
      <c r="T5" s="23">
        <v>0</v>
      </c>
      <c r="U5" s="24">
        <v>0</v>
      </c>
      <c r="V5" s="23">
        <v>0</v>
      </c>
      <c r="W5" s="24">
        <v>0</v>
      </c>
    </row>
    <row r="6" spans="1:23" ht="14.4" customHeight="1" x14ac:dyDescent="0.3">
      <c r="A6" s="17">
        <f>RANK(K6,K$2:K$141,0)</f>
        <v>2</v>
      </c>
      <c r="B6" s="88">
        <v>3349</v>
      </c>
      <c r="C6" s="88">
        <f>_xlfn.XLOOKUP(__xlnm._FilterDatabase_1571718[[#This Row],[SAPSA Number]],Table1[SAPSA number],Table1[Paid up])</f>
        <v>0</v>
      </c>
      <c r="D6" s="39" t="str">
        <f>_xlfn.XLOOKUP(__xlnm._FilterDatabase_1571718[[#This Row],[SAPSA Number]],Table1[SAPSA number],Table1[Name])</f>
        <v>Stefanus Christiaan</v>
      </c>
      <c r="E6" s="39" t="str">
        <f>_xlfn.XLOOKUP(__xlnm._FilterDatabase_1571718[[#This Row],[SAPSA Number]],Table1[SAPSA number],Table1[Surname])</f>
        <v>Bosch</v>
      </c>
      <c r="F6" s="20" t="str">
        <f>_xlfn.XLOOKUP(__xlnm._FilterDatabase_1571718[[#This Row],[SAPSA Number]],Table1[SAPSA number],Table1[Initials])</f>
        <v>SC</v>
      </c>
      <c r="G6" s="17" t="str">
        <f ca="1">_xlfn.XLOOKUP(__xlnm._FilterDatabase_1571718[[#This Row],[SAPSA Number]],Table1[SAPSA number],Table1[Gender])</f>
        <v>S</v>
      </c>
      <c r="H6" s="19" t="e">
        <f>_xlfn.XLOOKUP(__xlnm._FilterDatabase_1571718[[#This Row],[SAPSA Number]],#REF!,#REF!)</f>
        <v>#REF!</v>
      </c>
      <c r="I6" s="19" t="s">
        <v>242</v>
      </c>
      <c r="J6" s="21">
        <f t="shared" si="0"/>
        <v>0</v>
      </c>
      <c r="K6" s="22">
        <f t="shared" si="1"/>
        <v>0</v>
      </c>
      <c r="L6" s="23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  <c r="T6" s="23">
        <v>0</v>
      </c>
      <c r="U6" s="24">
        <v>0</v>
      </c>
      <c r="V6" s="23">
        <v>0</v>
      </c>
      <c r="W6" s="24">
        <v>0</v>
      </c>
    </row>
    <row r="7" spans="1:23" ht="14.4" customHeight="1" x14ac:dyDescent="0.3">
      <c r="A7" s="17">
        <f>RANK(K7,K$2:K$160,0)</f>
        <v>2</v>
      </c>
      <c r="B7" s="18">
        <v>4621</v>
      </c>
      <c r="C7" s="88">
        <f>_xlfn.XLOOKUP(__xlnm._FilterDatabase_1571718[[#This Row],[SAPSA Number]],Table1[SAPSA number],Table1[Paid up])</f>
        <v>0</v>
      </c>
      <c r="D7" s="39" t="str">
        <f>_xlfn.XLOOKUP(__xlnm._FilterDatabase_1571718[[#This Row],[SAPSA Number]],Table1[SAPSA number],Table1[Name])</f>
        <v>Colin</v>
      </c>
      <c r="E7" s="39" t="str">
        <f>_xlfn.XLOOKUP(__xlnm._FilterDatabase_1571718[[#This Row],[SAPSA Number]],Table1[SAPSA number],Table1[Surname])</f>
        <v>Bowring</v>
      </c>
      <c r="F7" s="20" t="str">
        <f>_xlfn.XLOOKUP(__xlnm._FilterDatabase_1571718[[#This Row],[SAPSA Number]],Table1[SAPSA number],Table1[Initials])</f>
        <v>C</v>
      </c>
      <c r="G7" s="17" t="str">
        <f ca="1">_xlfn.XLOOKUP(__xlnm._FilterDatabase_1571718[[#This Row],[SAPSA Number]],Table1[SAPSA number],Table1[Gender])</f>
        <v>SS</v>
      </c>
      <c r="H7" s="19" t="e">
        <f>_xlfn.XLOOKUP(__xlnm._FilterDatabase_1571718[[#This Row],[SAPSA Number]],#REF!,#REF!)</f>
        <v>#REF!</v>
      </c>
      <c r="I7" s="19" t="s">
        <v>242</v>
      </c>
      <c r="J7" s="21">
        <f t="shared" si="0"/>
        <v>0</v>
      </c>
      <c r="K7" s="22">
        <f t="shared" si="1"/>
        <v>0</v>
      </c>
      <c r="L7" s="23">
        <v>0</v>
      </c>
      <c r="M7" s="24">
        <v>0</v>
      </c>
      <c r="N7" s="23">
        <v>0</v>
      </c>
      <c r="O7" s="24">
        <v>0</v>
      </c>
      <c r="P7" s="23">
        <v>0</v>
      </c>
      <c r="Q7" s="24">
        <v>0</v>
      </c>
      <c r="R7" s="23">
        <v>0</v>
      </c>
      <c r="S7" s="24">
        <v>0</v>
      </c>
      <c r="T7" s="23">
        <v>0</v>
      </c>
      <c r="U7" s="24">
        <v>0</v>
      </c>
      <c r="V7" s="23">
        <v>0</v>
      </c>
      <c r="W7" s="24">
        <v>0</v>
      </c>
    </row>
    <row r="8" spans="1:23" ht="14.4" customHeight="1" x14ac:dyDescent="0.3">
      <c r="A8" s="17">
        <f t="shared" ref="A8:A39" si="2">RANK(K8,K$2:K$141,0)</f>
        <v>2</v>
      </c>
      <c r="B8" s="18">
        <v>3338</v>
      </c>
      <c r="C8" s="88">
        <f>_xlfn.XLOOKUP(__xlnm._FilterDatabase_1571718[[#This Row],[SAPSA Number]],Table1[SAPSA number],Table1[Paid up])</f>
        <v>0</v>
      </c>
      <c r="D8" s="39" t="str">
        <f>_xlfn.XLOOKUP(__xlnm._FilterDatabase_1571718[[#This Row],[SAPSA Number]],Table1[SAPSA number],Table1[Name])</f>
        <v>Carl Johann</v>
      </c>
      <c r="E8" s="39" t="str">
        <f>_xlfn.XLOOKUP(__xlnm._FilterDatabase_1571718[[#This Row],[SAPSA Number]],Table1[SAPSA number],Table1[Surname])</f>
        <v>Brandt</v>
      </c>
      <c r="F8" s="20" t="str">
        <f>_xlfn.XLOOKUP(__xlnm._FilterDatabase_1571718[[#This Row],[SAPSA Number]],Table1[SAPSA number],Table1[Initials])</f>
        <v>CJ</v>
      </c>
      <c r="G8" s="17" t="str">
        <f ca="1">_xlfn.XLOOKUP(__xlnm._FilterDatabase_1571718[[#This Row],[SAPSA Number]],Table1[SAPSA number],Table1[Gender])</f>
        <v>S</v>
      </c>
      <c r="H8" s="19" t="e">
        <f>_xlfn.XLOOKUP(__xlnm._FilterDatabase_1571718[[#This Row],[SAPSA Number]],#REF!,#REF!)</f>
        <v>#REF!</v>
      </c>
      <c r="I8" s="19" t="s">
        <v>242</v>
      </c>
      <c r="J8" s="21">
        <f t="shared" si="0"/>
        <v>0</v>
      </c>
      <c r="K8" s="22">
        <f t="shared" si="1"/>
        <v>0</v>
      </c>
      <c r="L8" s="23">
        <v>0</v>
      </c>
      <c r="M8" s="24">
        <v>0</v>
      </c>
      <c r="N8" s="23">
        <v>0</v>
      </c>
      <c r="O8" s="24">
        <v>0</v>
      </c>
      <c r="P8" s="23">
        <v>0</v>
      </c>
      <c r="Q8" s="24">
        <v>0</v>
      </c>
      <c r="R8" s="23">
        <v>0</v>
      </c>
      <c r="S8" s="24">
        <v>0</v>
      </c>
      <c r="T8" s="23">
        <v>0</v>
      </c>
      <c r="U8" s="24">
        <v>0</v>
      </c>
      <c r="V8" s="23">
        <v>0</v>
      </c>
      <c r="W8" s="24">
        <v>0</v>
      </c>
    </row>
    <row r="9" spans="1:23" ht="14.4" customHeight="1" x14ac:dyDescent="0.3">
      <c r="A9" s="17">
        <f t="shared" si="2"/>
        <v>2</v>
      </c>
      <c r="B9" s="88">
        <v>3350</v>
      </c>
      <c r="C9" s="88">
        <f>_xlfn.XLOOKUP(__xlnm._FilterDatabase_1571718[[#This Row],[SAPSA Number]],Table1[SAPSA number],Table1[Paid up])</f>
        <v>0</v>
      </c>
      <c r="D9" s="39" t="str">
        <f>_xlfn.XLOOKUP(__xlnm._FilterDatabase_1571718[[#This Row],[SAPSA Number]],Table1[SAPSA number],Table1[Name])</f>
        <v>Conrad Ernest</v>
      </c>
      <c r="E9" s="39" t="str">
        <f>_xlfn.XLOOKUP(__xlnm._FilterDatabase_1571718[[#This Row],[SAPSA Number]],Table1[SAPSA number],Table1[Surname])</f>
        <v>Brandt</v>
      </c>
      <c r="F9" s="20" t="str">
        <f>_xlfn.XLOOKUP(__xlnm._FilterDatabase_1571718[[#This Row],[SAPSA Number]],Table1[SAPSA number],Table1[Initials])</f>
        <v>CE</v>
      </c>
      <c r="G9" s="17" t="str">
        <f ca="1">_xlfn.XLOOKUP(__xlnm._FilterDatabase_1571718[[#This Row],[SAPSA Number]],Table1[SAPSA number],Table1[Gender])</f>
        <v>S</v>
      </c>
      <c r="H9" s="19" t="e">
        <f>_xlfn.XLOOKUP(__xlnm._FilterDatabase_1571718[[#This Row],[SAPSA Number]],#REF!,#REF!)</f>
        <v>#REF!</v>
      </c>
      <c r="I9" s="19" t="s">
        <v>242</v>
      </c>
      <c r="J9" s="21">
        <f t="shared" si="0"/>
        <v>0</v>
      </c>
      <c r="K9" s="22">
        <f t="shared" si="1"/>
        <v>0</v>
      </c>
      <c r="L9" s="23">
        <v>0</v>
      </c>
      <c r="M9" s="24">
        <v>0</v>
      </c>
      <c r="N9" s="23">
        <v>0</v>
      </c>
      <c r="O9" s="24">
        <v>0</v>
      </c>
      <c r="P9" s="23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4">
        <v>0</v>
      </c>
    </row>
    <row r="10" spans="1:23" ht="14.4" customHeight="1" x14ac:dyDescent="0.3">
      <c r="A10" s="17">
        <f t="shared" si="2"/>
        <v>2</v>
      </c>
      <c r="B10" s="88">
        <v>3576</v>
      </c>
      <c r="C10" s="88" t="str">
        <f>_xlfn.XLOOKUP(__xlnm._FilterDatabase_1571718[[#This Row],[SAPSA Number]],Table1[SAPSA number],Table1[Paid up])</f>
        <v>Y</v>
      </c>
      <c r="D10" s="39" t="str">
        <f>_xlfn.XLOOKUP(__xlnm._FilterDatabase_1571718[[#This Row],[SAPSA Number]],Table1[SAPSA number],Table1[Name])</f>
        <v>Christoff Mechiel</v>
      </c>
      <c r="E10" s="39" t="str">
        <f>_xlfn.XLOOKUP(__xlnm._FilterDatabase_1571718[[#This Row],[SAPSA Number]],Table1[SAPSA number],Table1[Surname])</f>
        <v>Brandt</v>
      </c>
      <c r="F10" s="20" t="str">
        <f>_xlfn.XLOOKUP(__xlnm._FilterDatabase_1571718[[#This Row],[SAPSA Number]],Table1[SAPSA number],Table1[Initials])</f>
        <v>CM</v>
      </c>
      <c r="G10" s="17" t="str">
        <f ca="1">_xlfn.XLOOKUP(__xlnm._FilterDatabase_1571718[[#This Row],[SAPSA Number]],Table1[SAPSA number],Table1[Gender])</f>
        <v xml:space="preserve"> </v>
      </c>
      <c r="H10" s="19" t="e">
        <f>_xlfn.XLOOKUP(__xlnm._FilterDatabase_1571718[[#This Row],[SAPSA Number]],#REF!,#REF!)</f>
        <v>#REF!</v>
      </c>
      <c r="I10" s="19" t="s">
        <v>242</v>
      </c>
      <c r="J10" s="21">
        <f t="shared" si="0"/>
        <v>0</v>
      </c>
      <c r="K10" s="22">
        <f t="shared" si="1"/>
        <v>0</v>
      </c>
      <c r="L10" s="23">
        <v>0</v>
      </c>
      <c r="M10" s="24">
        <v>0</v>
      </c>
      <c r="N10" s="23">
        <v>0</v>
      </c>
      <c r="O10" s="24">
        <v>0</v>
      </c>
      <c r="P10" s="23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4">
        <v>0</v>
      </c>
    </row>
    <row r="11" spans="1:23" ht="14.4" customHeight="1" x14ac:dyDescent="0.3">
      <c r="A11" s="17">
        <f t="shared" si="2"/>
        <v>2</v>
      </c>
      <c r="B11" s="89">
        <v>5304</v>
      </c>
      <c r="C11" s="88">
        <f>_xlfn.XLOOKUP(__xlnm._FilterDatabase_1571718[[#This Row],[SAPSA Number]],Table1[SAPSA number],Table1[Paid up])</f>
        <v>0</v>
      </c>
      <c r="D11" s="39" t="str">
        <f>_xlfn.XLOOKUP(__xlnm._FilterDatabase_1571718[[#This Row],[SAPSA Number]],Table1[SAPSA number],Table1[Name])</f>
        <v>Johan Gerard</v>
      </c>
      <c r="E11" s="39" t="str">
        <f>_xlfn.XLOOKUP(__xlnm._FilterDatabase_1571718[[#This Row],[SAPSA Number]],Table1[SAPSA number],Table1[Surname])</f>
        <v>Bultman</v>
      </c>
      <c r="F11" s="20" t="str">
        <f>_xlfn.XLOOKUP(__xlnm._FilterDatabase_1571718[[#This Row],[SAPSA Number]],Table1[SAPSA number],Table1[Initials])</f>
        <v>JG</v>
      </c>
      <c r="G11" s="17" t="str">
        <f ca="1">_xlfn.XLOOKUP(__xlnm._FilterDatabase_1571718[[#This Row],[SAPSA Number]],Table1[SAPSA number],Table1[Gender])</f>
        <v xml:space="preserve"> </v>
      </c>
      <c r="H11" s="19" t="e">
        <f>_xlfn.XLOOKUP(__xlnm._FilterDatabase_1571718[[#This Row],[SAPSA Number]],#REF!,#REF!)</f>
        <v>#REF!</v>
      </c>
      <c r="I11" s="19" t="s">
        <v>242</v>
      </c>
      <c r="J11" s="21">
        <f t="shared" si="0"/>
        <v>0</v>
      </c>
      <c r="K11" s="22">
        <f t="shared" si="1"/>
        <v>0</v>
      </c>
      <c r="L11" s="23">
        <v>0</v>
      </c>
      <c r="M11" s="24">
        <v>0</v>
      </c>
      <c r="N11" s="23">
        <v>0</v>
      </c>
      <c r="O11" s="24">
        <v>0</v>
      </c>
      <c r="P11" s="23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4">
        <v>0</v>
      </c>
    </row>
    <row r="12" spans="1:23" ht="14.4" customHeight="1" x14ac:dyDescent="0.3">
      <c r="A12" s="17">
        <f t="shared" si="2"/>
        <v>2</v>
      </c>
      <c r="B12" s="88">
        <v>259</v>
      </c>
      <c r="C12" s="88" t="str">
        <f>_xlfn.XLOOKUP(__xlnm._FilterDatabase_1571718[[#This Row],[SAPSA Number]],Table1[SAPSA number],Table1[Paid up])</f>
        <v>Y</v>
      </c>
      <c r="D12" s="39" t="str">
        <f>_xlfn.XLOOKUP(__xlnm._FilterDatabase_1571718[[#This Row],[SAPSA Number]],Table1[SAPSA number],Table1[Name])</f>
        <v>Kathleen Beresford</v>
      </c>
      <c r="E12" s="39" t="str">
        <f>_xlfn.XLOOKUP(__xlnm._FilterDatabase_1571718[[#This Row],[SAPSA Number]],Table1[SAPSA number],Table1[Surname])</f>
        <v>Carter</v>
      </c>
      <c r="F12" s="20" t="str">
        <f>_xlfn.XLOOKUP(__xlnm._FilterDatabase_1571718[[#This Row],[SAPSA Number]],Table1[SAPSA number],Table1[Initials])</f>
        <v>KB</v>
      </c>
      <c r="G12" s="17" t="str">
        <f>_xlfn.XLOOKUP(__xlnm._FilterDatabase_1571718[[#This Row],[SAPSA Number]],Table1[SAPSA number],Table1[Gender])</f>
        <v>Lady</v>
      </c>
      <c r="H12" s="19" t="e">
        <f>_xlfn.XLOOKUP(__xlnm._FilterDatabase_1571718[[#This Row],[SAPSA Number]],#REF!,#REF!)</f>
        <v>#REF!</v>
      </c>
      <c r="I12" s="19" t="s">
        <v>242</v>
      </c>
      <c r="J12" s="21">
        <f t="shared" si="0"/>
        <v>0</v>
      </c>
      <c r="K12" s="22">
        <f t="shared" si="1"/>
        <v>0</v>
      </c>
      <c r="L12" s="23">
        <v>0</v>
      </c>
      <c r="M12" s="24">
        <v>0</v>
      </c>
      <c r="N12" s="23">
        <v>0</v>
      </c>
      <c r="O12" s="24">
        <v>0</v>
      </c>
      <c r="P12" s="23">
        <v>0</v>
      </c>
      <c r="Q12" s="24">
        <v>0</v>
      </c>
      <c r="R12" s="23">
        <v>0</v>
      </c>
      <c r="S12" s="24">
        <v>0</v>
      </c>
      <c r="T12" s="23">
        <v>0</v>
      </c>
      <c r="U12" s="24">
        <v>0</v>
      </c>
      <c r="V12" s="23">
        <v>0</v>
      </c>
      <c r="W12" s="24">
        <v>0</v>
      </c>
    </row>
    <row r="13" spans="1:23" ht="14.4" customHeight="1" x14ac:dyDescent="0.3">
      <c r="A13" s="17">
        <f t="shared" si="2"/>
        <v>2</v>
      </c>
      <c r="B13" s="88">
        <v>4316</v>
      </c>
      <c r="C13" s="88" t="str">
        <f>_xlfn.XLOOKUP(__xlnm._FilterDatabase_1571718[[#This Row],[SAPSA Number]],Table1[SAPSA number],Table1[Paid up])</f>
        <v>Y</v>
      </c>
      <c r="D13" s="39" t="str">
        <f>_xlfn.XLOOKUP(__xlnm._FilterDatabase_1571718[[#This Row],[SAPSA Number]],Table1[SAPSA number],Table1[Name])</f>
        <v>Wilhelm Jacobus</v>
      </c>
      <c r="E13" s="39" t="str">
        <f>_xlfn.XLOOKUP(__xlnm._FilterDatabase_1571718[[#This Row],[SAPSA Number]],Table1[SAPSA number],Table1[Surname])</f>
        <v>Coetzee</v>
      </c>
      <c r="F13" s="20" t="str">
        <f>_xlfn.XLOOKUP(__xlnm._FilterDatabase_1571718[[#This Row],[SAPSA Number]],Table1[SAPSA number],Table1[Initials])</f>
        <v>WJ</v>
      </c>
      <c r="G13" s="17" t="str">
        <f ca="1">_xlfn.XLOOKUP(__xlnm._FilterDatabase_1571718[[#This Row],[SAPSA Number]],Table1[SAPSA number],Table1[Gender])</f>
        <v>S</v>
      </c>
      <c r="H13" s="19" t="e">
        <f>_xlfn.XLOOKUP(__xlnm._FilterDatabase_1571718[[#This Row],[SAPSA Number]],#REF!,#REF!)</f>
        <v>#REF!</v>
      </c>
      <c r="I13" s="19" t="s">
        <v>242</v>
      </c>
      <c r="J13" s="21">
        <f t="shared" si="0"/>
        <v>0</v>
      </c>
      <c r="K13" s="22">
        <f t="shared" si="1"/>
        <v>0</v>
      </c>
      <c r="L13" s="23">
        <v>0</v>
      </c>
      <c r="M13" s="24">
        <v>0</v>
      </c>
      <c r="N13" s="23">
        <v>0</v>
      </c>
      <c r="O13" s="24">
        <v>0</v>
      </c>
      <c r="P13" s="23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4">
        <v>0</v>
      </c>
    </row>
    <row r="14" spans="1:23" ht="14.4" customHeight="1" x14ac:dyDescent="0.3">
      <c r="A14" s="17">
        <f t="shared" si="2"/>
        <v>2</v>
      </c>
      <c r="B14" s="91">
        <v>591</v>
      </c>
      <c r="C14" s="88" t="str">
        <f>_xlfn.XLOOKUP(__xlnm._FilterDatabase_1571718[[#This Row],[SAPSA Number]],Table1[SAPSA number],Table1[Paid up])</f>
        <v>Y</v>
      </c>
      <c r="D14" s="39" t="str">
        <f>_xlfn.XLOOKUP(__xlnm._FilterDatabase_1571718[[#This Row],[SAPSA Number]],Table1[SAPSA number],Table1[Name])</f>
        <v>Enrico</v>
      </c>
      <c r="E14" s="39" t="str">
        <f>_xlfn.XLOOKUP(__xlnm._FilterDatabase_1571718[[#This Row],[SAPSA Number]],Table1[SAPSA number],Table1[Surname])</f>
        <v>Cupido</v>
      </c>
      <c r="F14" s="20" t="str">
        <f>_xlfn.XLOOKUP(__xlnm._FilterDatabase_1571718[[#This Row],[SAPSA Number]],Table1[SAPSA number],Table1[Initials])</f>
        <v>E</v>
      </c>
      <c r="G14" s="17" t="str">
        <f ca="1">_xlfn.XLOOKUP(__xlnm._FilterDatabase_1571718[[#This Row],[SAPSA Number]],Table1[SAPSA number],Table1[Gender])</f>
        <v>GS</v>
      </c>
      <c r="H14" s="19" t="e">
        <f>_xlfn.XLOOKUP(__xlnm._FilterDatabase_1571718[[#This Row],[SAPSA Number]],#REF!,#REF!)</f>
        <v>#REF!</v>
      </c>
      <c r="I14" s="19" t="s">
        <v>242</v>
      </c>
      <c r="J14" s="21">
        <f t="shared" si="0"/>
        <v>0</v>
      </c>
      <c r="K14" s="22">
        <f t="shared" si="1"/>
        <v>0</v>
      </c>
      <c r="L14" s="23">
        <v>0</v>
      </c>
      <c r="M14" s="24">
        <v>0</v>
      </c>
      <c r="N14" s="23">
        <v>0</v>
      </c>
      <c r="O14" s="24">
        <v>0</v>
      </c>
      <c r="P14" s="23">
        <v>0</v>
      </c>
      <c r="Q14" s="24">
        <v>0</v>
      </c>
      <c r="R14" s="23">
        <v>0</v>
      </c>
      <c r="S14" s="24">
        <v>0</v>
      </c>
      <c r="T14" s="23">
        <v>0</v>
      </c>
      <c r="U14" s="24">
        <v>0</v>
      </c>
      <c r="V14" s="23">
        <v>0</v>
      </c>
      <c r="W14" s="24">
        <v>0</v>
      </c>
    </row>
    <row r="15" spans="1:23" ht="14.4" customHeight="1" x14ac:dyDescent="0.3">
      <c r="A15" s="17">
        <f t="shared" si="2"/>
        <v>2</v>
      </c>
      <c r="B15" s="91">
        <v>601</v>
      </c>
      <c r="C15" s="88" t="str">
        <f>_xlfn.XLOOKUP(__xlnm._FilterDatabase_1571718[[#This Row],[SAPSA Number]],Table1[SAPSA number],Table1[Paid up])</f>
        <v>Y</v>
      </c>
      <c r="D15" s="39" t="str">
        <f>_xlfn.XLOOKUP(__xlnm._FilterDatabase_1571718[[#This Row],[SAPSA Number]],Table1[SAPSA number],Table1[Name])</f>
        <v>Piero</v>
      </c>
      <c r="E15" s="39" t="str">
        <f>_xlfn.XLOOKUP(__xlnm._FilterDatabase_1571718[[#This Row],[SAPSA Number]],Table1[SAPSA number],Table1[Surname])</f>
        <v>Cupido</v>
      </c>
      <c r="F15" s="20" t="str">
        <f>_xlfn.XLOOKUP(__xlnm._FilterDatabase_1571718[[#This Row],[SAPSA Number]],Table1[SAPSA number],Table1[Initials])</f>
        <v>P</v>
      </c>
      <c r="G15" s="17" t="str">
        <f ca="1">_xlfn.XLOOKUP(__xlnm._FilterDatabase_1571718[[#This Row],[SAPSA Number]],Table1[SAPSA number],Table1[Gender])</f>
        <v xml:space="preserve"> </v>
      </c>
      <c r="H15" s="19" t="e">
        <f>_xlfn.XLOOKUP(__xlnm._FilterDatabase_1571718[[#This Row],[SAPSA Number]],#REF!,#REF!)</f>
        <v>#REF!</v>
      </c>
      <c r="I15" s="19" t="s">
        <v>242</v>
      </c>
      <c r="J15" s="21">
        <f t="shared" si="0"/>
        <v>0</v>
      </c>
      <c r="K15" s="22">
        <f t="shared" si="1"/>
        <v>0</v>
      </c>
      <c r="L15" s="23">
        <v>0</v>
      </c>
      <c r="M15" s="24">
        <v>0</v>
      </c>
      <c r="N15" s="23">
        <v>0</v>
      </c>
      <c r="O15" s="24">
        <v>0</v>
      </c>
      <c r="P15" s="23">
        <v>0</v>
      </c>
      <c r="Q15" s="24">
        <v>0</v>
      </c>
      <c r="R15" s="23">
        <v>0</v>
      </c>
      <c r="S15" s="24">
        <v>0</v>
      </c>
      <c r="T15" s="23">
        <v>0</v>
      </c>
      <c r="U15" s="24">
        <v>0</v>
      </c>
      <c r="V15" s="23">
        <v>0</v>
      </c>
      <c r="W15" s="24">
        <v>0</v>
      </c>
    </row>
    <row r="16" spans="1:23" ht="14.4" customHeight="1" x14ac:dyDescent="0.3">
      <c r="A16" s="17">
        <f t="shared" si="2"/>
        <v>2</v>
      </c>
      <c r="B16" s="88">
        <v>288</v>
      </c>
      <c r="C16" s="88" t="str">
        <f>_xlfn.XLOOKUP(__xlnm._FilterDatabase_1571718[[#This Row],[SAPSA Number]],Table1[SAPSA number],Table1[Paid up])</f>
        <v>Y</v>
      </c>
      <c r="D16" s="39" t="str">
        <f>_xlfn.XLOOKUP(__xlnm._FilterDatabase_1571718[[#This Row],[SAPSA Number]],Table1[SAPSA number],Table1[Name])</f>
        <v>Feroz</v>
      </c>
      <c r="E16" s="39" t="str">
        <f>_xlfn.XLOOKUP(__xlnm._FilterDatabase_1571718[[#This Row],[SAPSA Number]],Table1[SAPSA number],Table1[Surname])</f>
        <v>Daya</v>
      </c>
      <c r="F16" s="20" t="str">
        <f>_xlfn.XLOOKUP(__xlnm._FilterDatabase_1571718[[#This Row],[SAPSA Number]],Table1[SAPSA number],Table1[Initials])</f>
        <v>F</v>
      </c>
      <c r="G16" s="17" t="str">
        <f ca="1">_xlfn.XLOOKUP(__xlnm._FilterDatabase_1571718[[#This Row],[SAPSA Number]],Table1[SAPSA number],Table1[Gender])</f>
        <v>S</v>
      </c>
      <c r="H16" s="19" t="e">
        <f>_xlfn.XLOOKUP(__xlnm._FilterDatabase_1571718[[#This Row],[SAPSA Number]],#REF!,#REF!)</f>
        <v>#REF!</v>
      </c>
      <c r="I16" s="19" t="s">
        <v>242</v>
      </c>
      <c r="J16" s="21">
        <f t="shared" si="0"/>
        <v>0</v>
      </c>
      <c r="K16" s="22">
        <f t="shared" si="1"/>
        <v>0</v>
      </c>
      <c r="L16" s="23">
        <v>0</v>
      </c>
      <c r="M16" s="24">
        <v>0</v>
      </c>
      <c r="N16" s="23">
        <v>0</v>
      </c>
      <c r="O16" s="24">
        <v>0</v>
      </c>
      <c r="P16" s="23">
        <v>0</v>
      </c>
      <c r="Q16" s="24">
        <v>0</v>
      </c>
      <c r="R16" s="23">
        <v>0</v>
      </c>
      <c r="S16" s="24">
        <v>0</v>
      </c>
      <c r="T16" s="23">
        <v>0</v>
      </c>
      <c r="U16" s="24">
        <v>0</v>
      </c>
      <c r="V16" s="23">
        <v>0</v>
      </c>
      <c r="W16" s="24">
        <v>0</v>
      </c>
    </row>
    <row r="17" spans="1:23" ht="14.4" customHeight="1" x14ac:dyDescent="0.3">
      <c r="A17" s="17">
        <f t="shared" si="2"/>
        <v>2</v>
      </c>
      <c r="B17" s="89">
        <v>6846</v>
      </c>
      <c r="C17" s="88">
        <f>_xlfn.XLOOKUP(__xlnm._FilterDatabase_1571718[[#This Row],[SAPSA Number]],Table1[SAPSA number],Table1[Paid up])</f>
        <v>0</v>
      </c>
      <c r="D17" s="39" t="str">
        <f>_xlfn.XLOOKUP(__xlnm._FilterDatabase_1571718[[#This Row],[SAPSA Number]],Table1[SAPSA number],Table1[Name])</f>
        <v>Daniel Stephanus Jacobus</v>
      </c>
      <c r="E17" s="39" t="str">
        <f>_xlfn.XLOOKUP(__xlnm._FilterDatabase_1571718[[#This Row],[SAPSA Number]],Table1[SAPSA number],Table1[Surname])</f>
        <v>Dreyer</v>
      </c>
      <c r="F17" s="20" t="str">
        <f>_xlfn.XLOOKUP(__xlnm._FilterDatabase_1571718[[#This Row],[SAPSA Number]],Table1[SAPSA number],Table1[Initials])</f>
        <v>DSJ</v>
      </c>
      <c r="G17" s="17" t="str">
        <f ca="1">_xlfn.XLOOKUP(__xlnm._FilterDatabase_1571718[[#This Row],[SAPSA Number]],Table1[SAPSA number],Table1[Gender])</f>
        <v xml:space="preserve"> </v>
      </c>
      <c r="H17" s="19" t="e">
        <f>_xlfn.XLOOKUP(__xlnm._FilterDatabase_1571718[[#This Row],[SAPSA Number]],#REF!,#REF!)</f>
        <v>#REF!</v>
      </c>
      <c r="I17" s="19" t="s">
        <v>242</v>
      </c>
      <c r="J17" s="21">
        <f t="shared" si="0"/>
        <v>0</v>
      </c>
      <c r="K17" s="22">
        <f t="shared" si="1"/>
        <v>0</v>
      </c>
      <c r="L17" s="23">
        <v>0</v>
      </c>
      <c r="M17" s="24">
        <v>0</v>
      </c>
      <c r="N17" s="23">
        <v>0</v>
      </c>
      <c r="O17" s="24">
        <v>0</v>
      </c>
      <c r="P17" s="23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4">
        <v>0</v>
      </c>
    </row>
    <row r="18" spans="1:23" ht="14.4" customHeight="1" x14ac:dyDescent="0.3">
      <c r="A18" s="17">
        <f t="shared" si="2"/>
        <v>2</v>
      </c>
      <c r="B18" s="88">
        <v>392</v>
      </c>
      <c r="C18" s="88" t="str">
        <f>_xlfn.XLOOKUP(__xlnm._FilterDatabase_1571718[[#This Row],[SAPSA Number]],Table1[SAPSA number],Table1[Paid up])</f>
        <v>Y</v>
      </c>
      <c r="D18" s="39" t="str">
        <f>_xlfn.XLOOKUP(__xlnm._FilterDatabase_1571718[[#This Row],[SAPSA Number]],Table1[SAPSA number],Table1[Name])</f>
        <v>Sasha-Lee</v>
      </c>
      <c r="E18" s="39" t="str">
        <f>_xlfn.XLOOKUP(__xlnm._FilterDatabase_1571718[[#This Row],[SAPSA Number]],Table1[SAPSA number],Table1[Surname])</f>
        <v>Du Plessis</v>
      </c>
      <c r="F18" s="20" t="str">
        <f>_xlfn.XLOOKUP(__xlnm._FilterDatabase_1571718[[#This Row],[SAPSA Number]],Table1[SAPSA number],Table1[Initials])</f>
        <v>SL</v>
      </c>
      <c r="G18" s="17" t="str">
        <f>_xlfn.XLOOKUP(__xlnm._FilterDatabase_1571718[[#This Row],[SAPSA Number]],Table1[SAPSA number],Table1[Gender])</f>
        <v>Lady</v>
      </c>
      <c r="H18" s="19" t="e">
        <f>_xlfn.XLOOKUP(__xlnm._FilterDatabase_1571718[[#This Row],[SAPSA Number]],#REF!,#REF!)</f>
        <v>#REF!</v>
      </c>
      <c r="I18" s="19" t="s">
        <v>242</v>
      </c>
      <c r="J18" s="21">
        <f t="shared" si="0"/>
        <v>0</v>
      </c>
      <c r="K18" s="22">
        <f t="shared" si="1"/>
        <v>0</v>
      </c>
      <c r="L18" s="23">
        <v>0</v>
      </c>
      <c r="M18" s="24">
        <v>0</v>
      </c>
      <c r="N18" s="23">
        <v>0</v>
      </c>
      <c r="O18" s="24">
        <v>0</v>
      </c>
      <c r="P18" s="23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4">
        <v>0</v>
      </c>
    </row>
    <row r="19" spans="1:23" ht="14.4" customHeight="1" x14ac:dyDescent="0.3">
      <c r="A19" s="17">
        <f t="shared" si="2"/>
        <v>2</v>
      </c>
      <c r="B19" s="88">
        <v>127</v>
      </c>
      <c r="C19" s="88" t="str">
        <f>_xlfn.XLOOKUP(__xlnm._FilterDatabase_1571718[[#This Row],[SAPSA Number]],Table1[SAPSA number],Table1[Paid up])</f>
        <v>Y</v>
      </c>
      <c r="D19" s="39" t="str">
        <f>_xlfn.XLOOKUP(__xlnm._FilterDatabase_1571718[[#This Row],[SAPSA Number]],Table1[SAPSA number],Table1[Name])</f>
        <v>Eurika Susara</v>
      </c>
      <c r="E19" s="39" t="str">
        <f>_xlfn.XLOOKUP(__xlnm._FilterDatabase_1571718[[#This Row],[SAPSA Number]],Table1[SAPSA number],Table1[Surname])</f>
        <v>Du Plooy</v>
      </c>
      <c r="F19" s="20" t="str">
        <f>_xlfn.XLOOKUP(__xlnm._FilterDatabase_1571718[[#This Row],[SAPSA Number]],Table1[SAPSA number],Table1[Initials])</f>
        <v>E</v>
      </c>
      <c r="G19" s="17" t="str">
        <f>_xlfn.XLOOKUP(__xlnm._FilterDatabase_1571718[[#This Row],[SAPSA Number]],Table1[SAPSA number],Table1[Gender])</f>
        <v>SS</v>
      </c>
      <c r="H19" s="19" t="e">
        <f>_xlfn.XLOOKUP(__xlnm._FilterDatabase_1571718[[#This Row],[SAPSA Number]],#REF!,#REF!)</f>
        <v>#REF!</v>
      </c>
      <c r="I19" s="19" t="s">
        <v>242</v>
      </c>
      <c r="J19" s="21">
        <f t="shared" si="0"/>
        <v>0</v>
      </c>
      <c r="K19" s="22">
        <f t="shared" si="1"/>
        <v>0</v>
      </c>
      <c r="L19" s="23">
        <v>0</v>
      </c>
      <c r="M19" s="24">
        <v>0</v>
      </c>
      <c r="N19" s="23">
        <v>0</v>
      </c>
      <c r="O19" s="24">
        <v>0</v>
      </c>
      <c r="P19" s="23">
        <v>0</v>
      </c>
      <c r="Q19" s="24">
        <v>0</v>
      </c>
      <c r="R19" s="23">
        <v>0</v>
      </c>
      <c r="S19" s="24">
        <v>0</v>
      </c>
      <c r="T19" s="23">
        <v>0</v>
      </c>
      <c r="U19" s="24">
        <v>0</v>
      </c>
      <c r="V19" s="23">
        <v>0</v>
      </c>
      <c r="W19" s="24">
        <v>0</v>
      </c>
    </row>
    <row r="20" spans="1:23" ht="14.4" customHeight="1" x14ac:dyDescent="0.3">
      <c r="A20" s="17">
        <f t="shared" si="2"/>
        <v>2</v>
      </c>
      <c r="B20" s="88">
        <v>393</v>
      </c>
      <c r="C20" s="88" t="str">
        <f>_xlfn.XLOOKUP(__xlnm._FilterDatabase_1571718[[#This Row],[SAPSA Number]],Table1[SAPSA number],Table1[Paid up])</f>
        <v>Y</v>
      </c>
      <c r="D20" s="39" t="str">
        <f>_xlfn.XLOOKUP(__xlnm._FilterDatabase_1571718[[#This Row],[SAPSA Number]],Table1[SAPSA number],Table1[Name])</f>
        <v>Robyn Angela</v>
      </c>
      <c r="E20" s="39" t="str">
        <f>_xlfn.XLOOKUP(__xlnm._FilterDatabase_1571718[[#This Row],[SAPSA Number]],Table1[SAPSA number],Table1[Surname])</f>
        <v>Evans</v>
      </c>
      <c r="F20" s="20" t="str">
        <f>_xlfn.XLOOKUP(__xlnm._FilterDatabase_1571718[[#This Row],[SAPSA Number]],Table1[SAPSA number],Table1[Initials])</f>
        <v>RA</v>
      </c>
      <c r="G20" s="17" t="str">
        <f>_xlfn.XLOOKUP(__xlnm._FilterDatabase_1571718[[#This Row],[SAPSA Number]],Table1[SAPSA number],Table1[Gender])</f>
        <v>Lady</v>
      </c>
      <c r="H20" s="19" t="e">
        <f>_xlfn.XLOOKUP(__xlnm._FilterDatabase_1571718[[#This Row],[SAPSA Number]],#REF!,#REF!)</f>
        <v>#REF!</v>
      </c>
      <c r="I20" s="19" t="s">
        <v>242</v>
      </c>
      <c r="J20" s="21">
        <f t="shared" si="0"/>
        <v>0</v>
      </c>
      <c r="K20" s="22">
        <f t="shared" si="1"/>
        <v>0</v>
      </c>
      <c r="L20" s="23">
        <v>0</v>
      </c>
      <c r="M20" s="24">
        <v>0</v>
      </c>
      <c r="N20" s="23">
        <v>0</v>
      </c>
      <c r="O20" s="24">
        <v>0</v>
      </c>
      <c r="P20" s="23">
        <v>0</v>
      </c>
      <c r="Q20" s="24">
        <v>0</v>
      </c>
      <c r="R20" s="23">
        <v>0</v>
      </c>
      <c r="S20" s="24">
        <v>0</v>
      </c>
      <c r="T20" s="23">
        <v>0</v>
      </c>
      <c r="U20" s="24">
        <v>0</v>
      </c>
      <c r="V20" s="23">
        <v>0</v>
      </c>
      <c r="W20" s="24">
        <v>0</v>
      </c>
    </row>
    <row r="21" spans="1:23" ht="14.4" customHeight="1" x14ac:dyDescent="0.3">
      <c r="A21" s="17">
        <f t="shared" si="2"/>
        <v>2</v>
      </c>
      <c r="B21" s="88">
        <v>3172</v>
      </c>
      <c r="C21" s="88" t="str">
        <f>_xlfn.XLOOKUP(__xlnm._FilterDatabase_1571718[[#This Row],[SAPSA Number]],Table1[SAPSA number],Table1[Paid up])</f>
        <v>Y</v>
      </c>
      <c r="D21" s="39" t="str">
        <f>_xlfn.XLOOKUP(__xlnm._FilterDatabase_1571718[[#This Row],[SAPSA Number]],Table1[SAPSA number],Table1[Name])</f>
        <v>Mervyn-John</v>
      </c>
      <c r="E21" s="39" t="str">
        <f>_xlfn.XLOOKUP(__xlnm._FilterDatabase_1571718[[#This Row],[SAPSA Number]],Table1[SAPSA number],Table1[Surname])</f>
        <v>Evans</v>
      </c>
      <c r="F21" s="20" t="str">
        <f>_xlfn.XLOOKUP(__xlnm._FilterDatabase_1571718[[#This Row],[SAPSA Number]],Table1[SAPSA number],Table1[Initials])</f>
        <v>MJ</v>
      </c>
      <c r="G21" s="17" t="str">
        <f ca="1">_xlfn.XLOOKUP(__xlnm._FilterDatabase_1571718[[#This Row],[SAPSA Number]],Table1[SAPSA number],Table1[Gender])</f>
        <v>SS</v>
      </c>
      <c r="H21" s="19" t="e">
        <f>_xlfn.XLOOKUP(__xlnm._FilterDatabase_1571718[[#This Row],[SAPSA Number]],#REF!,#REF!)</f>
        <v>#REF!</v>
      </c>
      <c r="I21" s="19" t="s">
        <v>242</v>
      </c>
      <c r="J21" s="21">
        <f t="shared" si="0"/>
        <v>0</v>
      </c>
      <c r="K21" s="22">
        <f t="shared" si="1"/>
        <v>0</v>
      </c>
      <c r="L21" s="23">
        <v>0</v>
      </c>
      <c r="M21" s="24">
        <v>0</v>
      </c>
      <c r="N21" s="23">
        <v>0</v>
      </c>
      <c r="O21" s="24">
        <v>0</v>
      </c>
      <c r="P21" s="23">
        <v>0</v>
      </c>
      <c r="Q21" s="24">
        <v>0</v>
      </c>
      <c r="R21" s="23">
        <v>0</v>
      </c>
      <c r="S21" s="24">
        <v>0</v>
      </c>
      <c r="T21" s="23">
        <v>0</v>
      </c>
      <c r="U21" s="24">
        <v>0</v>
      </c>
      <c r="V21" s="23">
        <v>0</v>
      </c>
      <c r="W21" s="24">
        <v>0</v>
      </c>
    </row>
    <row r="22" spans="1:23" ht="14.4" customHeight="1" x14ac:dyDescent="0.3">
      <c r="A22" s="17">
        <f t="shared" si="2"/>
        <v>2</v>
      </c>
      <c r="B22" s="88">
        <v>3173</v>
      </c>
      <c r="C22" s="88" t="str">
        <f>_xlfn.XLOOKUP(__xlnm._FilterDatabase_1571718[[#This Row],[SAPSA Number]],Table1[SAPSA number],Table1[Paid up])</f>
        <v>Y</v>
      </c>
      <c r="D22" s="39" t="str">
        <f>_xlfn.XLOOKUP(__xlnm._FilterDatabase_1571718[[#This Row],[SAPSA Number]],Table1[SAPSA number],Table1[Name])</f>
        <v>Garrett-John</v>
      </c>
      <c r="E22" s="39" t="str">
        <f>_xlfn.XLOOKUP(__xlnm._FilterDatabase_1571718[[#This Row],[SAPSA Number]],Table1[SAPSA number],Table1[Surname])</f>
        <v>Evans</v>
      </c>
      <c r="F22" s="20" t="str">
        <f>_xlfn.XLOOKUP(__xlnm._FilterDatabase_1571718[[#This Row],[SAPSA Number]],Table1[SAPSA number],Table1[Initials])</f>
        <v>G-J</v>
      </c>
      <c r="G22" s="17" t="str">
        <f ca="1">_xlfn.XLOOKUP(__xlnm._FilterDatabase_1571718[[#This Row],[SAPSA Number]],Table1[SAPSA number],Table1[Gender])</f>
        <v xml:space="preserve"> </v>
      </c>
      <c r="H22" s="19" t="e">
        <f>_xlfn.XLOOKUP(__xlnm._FilterDatabase_1571718[[#This Row],[SAPSA Number]],#REF!,#REF!)</f>
        <v>#REF!</v>
      </c>
      <c r="I22" s="19" t="s">
        <v>242</v>
      </c>
      <c r="J22" s="21">
        <f t="shared" si="0"/>
        <v>0</v>
      </c>
      <c r="K22" s="22">
        <f t="shared" si="1"/>
        <v>0</v>
      </c>
      <c r="L22" s="23">
        <v>0</v>
      </c>
      <c r="M22" s="24">
        <v>0</v>
      </c>
      <c r="N22" s="23">
        <v>0</v>
      </c>
      <c r="O22" s="24">
        <v>0</v>
      </c>
      <c r="P22" s="23">
        <v>0</v>
      </c>
      <c r="Q22" s="24">
        <v>0</v>
      </c>
      <c r="R22" s="23">
        <v>0</v>
      </c>
      <c r="S22" s="24">
        <v>0</v>
      </c>
      <c r="T22" s="23">
        <v>0</v>
      </c>
      <c r="U22" s="24">
        <v>0</v>
      </c>
      <c r="V22" s="23">
        <v>0</v>
      </c>
      <c r="W22" s="24">
        <v>0</v>
      </c>
    </row>
    <row r="23" spans="1:23" ht="14.4" customHeight="1" x14ac:dyDescent="0.3">
      <c r="A23" s="17">
        <f t="shared" si="2"/>
        <v>2</v>
      </c>
      <c r="B23" s="89">
        <v>7434</v>
      </c>
      <c r="C23" s="88">
        <f>_xlfn.XLOOKUP(__xlnm._FilterDatabase_1571718[[#This Row],[SAPSA Number]],Table1[SAPSA number],Table1[Paid up])</f>
        <v>0</v>
      </c>
      <c r="D23" s="39" t="str">
        <f>_xlfn.XLOOKUP(__xlnm._FilterDatabase_1571718[[#This Row],[SAPSA Number]],Table1[SAPSA number],Table1[Name])</f>
        <v>Shannon Kimberley</v>
      </c>
      <c r="E23" s="39" t="str">
        <f>_xlfn.XLOOKUP(__xlnm._FilterDatabase_1571718[[#This Row],[SAPSA Number]],Table1[SAPSA number],Table1[Surname])</f>
        <v>Gahagan</v>
      </c>
      <c r="F23" s="20" t="str">
        <f>_xlfn.XLOOKUP(__xlnm._FilterDatabase_1571718[[#This Row],[SAPSA Number]],Table1[SAPSA number],Table1[Initials])</f>
        <v>S</v>
      </c>
      <c r="G23" s="17" t="str">
        <f>_xlfn.XLOOKUP(__xlnm._FilterDatabase_1571718[[#This Row],[SAPSA Number]],Table1[SAPSA number],Table1[Gender])</f>
        <v>Lady</v>
      </c>
      <c r="H23" s="19" t="e">
        <f>_xlfn.XLOOKUP(__xlnm._FilterDatabase_1571718[[#This Row],[SAPSA Number]],#REF!,#REF!)</f>
        <v>#REF!</v>
      </c>
      <c r="I23" s="19" t="s">
        <v>242</v>
      </c>
      <c r="J23" s="21">
        <f t="shared" si="0"/>
        <v>0</v>
      </c>
      <c r="K23" s="22">
        <f t="shared" si="1"/>
        <v>0</v>
      </c>
      <c r="L23" s="23">
        <v>0</v>
      </c>
      <c r="M23" s="24">
        <v>0</v>
      </c>
      <c r="N23" s="23">
        <v>0</v>
      </c>
      <c r="O23" s="24">
        <v>0</v>
      </c>
      <c r="P23" s="23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4">
        <v>0</v>
      </c>
    </row>
    <row r="24" spans="1:23" ht="14.4" customHeight="1" x14ac:dyDescent="0.3">
      <c r="A24" s="17">
        <f t="shared" si="2"/>
        <v>2</v>
      </c>
      <c r="B24" s="88">
        <v>3782</v>
      </c>
      <c r="C24" s="88">
        <f>_xlfn.XLOOKUP(__xlnm._FilterDatabase_1571718[[#This Row],[SAPSA Number]],Table1[SAPSA number],Table1[Paid up])</f>
        <v>0</v>
      </c>
      <c r="D24" s="39" t="str">
        <f>_xlfn.XLOOKUP(__xlnm._FilterDatabase_1571718[[#This Row],[SAPSA Number]],Table1[SAPSA number],Table1[Name])</f>
        <v>Gary Athol</v>
      </c>
      <c r="E24" s="39" t="str">
        <f>_xlfn.XLOOKUP(__xlnm._FilterDatabase_1571718[[#This Row],[SAPSA Number]],Table1[SAPSA number],Table1[Surname])</f>
        <v>Hagemann</v>
      </c>
      <c r="F24" s="20" t="str">
        <f>_xlfn.XLOOKUP(__xlnm._FilterDatabase_1571718[[#This Row],[SAPSA Number]],Table1[SAPSA number],Table1[Initials])</f>
        <v>GA</v>
      </c>
      <c r="G24" s="17" t="str">
        <f ca="1">_xlfn.XLOOKUP(__xlnm._FilterDatabase_1571718[[#This Row],[SAPSA Number]],Table1[SAPSA number],Table1[Gender])</f>
        <v>S</v>
      </c>
      <c r="H24" s="19" t="e">
        <f>_xlfn.XLOOKUP(__xlnm._FilterDatabase_1571718[[#This Row],[SAPSA Number]],#REF!,#REF!)</f>
        <v>#REF!</v>
      </c>
      <c r="I24" s="19" t="s">
        <v>242</v>
      </c>
      <c r="J24" s="21">
        <f t="shared" si="0"/>
        <v>0</v>
      </c>
      <c r="K24" s="22">
        <f t="shared" si="1"/>
        <v>0</v>
      </c>
      <c r="L24" s="23">
        <v>0</v>
      </c>
      <c r="M24" s="24">
        <v>0</v>
      </c>
      <c r="N24" s="23">
        <v>0</v>
      </c>
      <c r="O24" s="24">
        <v>0</v>
      </c>
      <c r="P24" s="23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4">
        <v>0</v>
      </c>
    </row>
    <row r="25" spans="1:23" ht="14.4" customHeight="1" x14ac:dyDescent="0.3">
      <c r="A25" s="17">
        <f t="shared" si="2"/>
        <v>2</v>
      </c>
      <c r="B25" s="88">
        <v>6308</v>
      </c>
      <c r="C25" s="88">
        <f>_xlfn.XLOOKUP(__xlnm._FilterDatabase_1571718[[#This Row],[SAPSA Number]],Table1[SAPSA number],Table1[Paid up])</f>
        <v>0</v>
      </c>
      <c r="D25" s="39" t="str">
        <f>_xlfn.XLOOKUP(__xlnm._FilterDatabase_1571718[[#This Row],[SAPSA Number]],Table1[SAPSA number],Table1[Name])</f>
        <v>James Matthew</v>
      </c>
      <c r="E25" s="39" t="str">
        <f>_xlfn.XLOOKUP(__xlnm._FilterDatabase_1571718[[#This Row],[SAPSA Number]],Table1[SAPSA number],Table1[Surname])</f>
        <v>Hagemann</v>
      </c>
      <c r="F25" s="20" t="str">
        <f>_xlfn.XLOOKUP(__xlnm._FilterDatabase_1571718[[#This Row],[SAPSA Number]],Table1[SAPSA number],Table1[Initials])</f>
        <v>JM</v>
      </c>
      <c r="G25" s="17" t="str">
        <f ca="1">_xlfn.XLOOKUP(__xlnm._FilterDatabase_1571718[[#This Row],[SAPSA Number]],Table1[SAPSA number],Table1[Gender])</f>
        <v>Jnr</v>
      </c>
      <c r="H25" s="19" t="e">
        <f>_xlfn.XLOOKUP(__xlnm._FilterDatabase_1571718[[#This Row],[SAPSA Number]],#REF!,#REF!)</f>
        <v>#REF!</v>
      </c>
      <c r="I25" s="19" t="s">
        <v>242</v>
      </c>
      <c r="J25" s="21">
        <f t="shared" si="0"/>
        <v>0</v>
      </c>
      <c r="K25" s="22">
        <f t="shared" si="1"/>
        <v>0</v>
      </c>
      <c r="L25" s="23">
        <v>0</v>
      </c>
      <c r="M25" s="24">
        <v>0</v>
      </c>
      <c r="N25" s="23">
        <v>0</v>
      </c>
      <c r="O25" s="24">
        <v>0</v>
      </c>
      <c r="P25" s="23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4">
        <v>0</v>
      </c>
    </row>
    <row r="26" spans="1:23" ht="14.4" customHeight="1" x14ac:dyDescent="0.3">
      <c r="A26" s="17">
        <f t="shared" si="2"/>
        <v>2</v>
      </c>
      <c r="B26" s="89">
        <v>7328</v>
      </c>
      <c r="C26" s="88" t="str">
        <f>_xlfn.XLOOKUP(__xlnm._FilterDatabase_1571718[[#This Row],[SAPSA Number]],Table1[SAPSA number],Table1[Paid up])</f>
        <v>Y</v>
      </c>
      <c r="D26" s="39" t="str">
        <f>_xlfn.XLOOKUP(__xlnm._FilterDatabase_1571718[[#This Row],[SAPSA Number]],Table1[SAPSA number],Table1[Name])</f>
        <v>Sizwe</v>
      </c>
      <c r="E26" s="39" t="str">
        <f>_xlfn.XLOOKUP(__xlnm._FilterDatabase_1571718[[#This Row],[SAPSA Number]],Table1[SAPSA number],Table1[Surname])</f>
        <v>Hlongwane</v>
      </c>
      <c r="F26" s="20" t="str">
        <f>_xlfn.XLOOKUP(__xlnm._FilterDatabase_1571718[[#This Row],[SAPSA Number]],Table1[SAPSA number],Table1[Initials])</f>
        <v>S</v>
      </c>
      <c r="G26" s="17" t="str">
        <f ca="1">_xlfn.XLOOKUP(__xlnm._FilterDatabase_1571718[[#This Row],[SAPSA Number]],Table1[SAPSA number],Table1[Gender])</f>
        <v xml:space="preserve"> </v>
      </c>
      <c r="H26" s="19" t="e">
        <f>_xlfn.XLOOKUP(__xlnm._FilterDatabase_1571718[[#This Row],[SAPSA Number]],#REF!,#REF!)</f>
        <v>#REF!</v>
      </c>
      <c r="I26" s="19" t="s">
        <v>242</v>
      </c>
      <c r="J26" s="21">
        <f t="shared" si="0"/>
        <v>0</v>
      </c>
      <c r="K26" s="22">
        <f t="shared" si="1"/>
        <v>0</v>
      </c>
      <c r="L26" s="23">
        <v>0</v>
      </c>
      <c r="M26" s="24">
        <v>0</v>
      </c>
      <c r="N26" s="23">
        <v>0</v>
      </c>
      <c r="O26" s="24">
        <v>0</v>
      </c>
      <c r="P26" s="23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4">
        <v>0</v>
      </c>
    </row>
    <row r="27" spans="1:23" ht="14.4" customHeight="1" x14ac:dyDescent="0.3">
      <c r="A27" s="17">
        <f t="shared" si="2"/>
        <v>2</v>
      </c>
      <c r="B27" s="89">
        <v>7271</v>
      </c>
      <c r="C27" s="88" t="str">
        <f>_xlfn.XLOOKUP(__xlnm._FilterDatabase_1571718[[#This Row],[SAPSA Number]],Table1[SAPSA number],Table1[Paid up])</f>
        <v>Y</v>
      </c>
      <c r="D27" s="39" t="str">
        <f>_xlfn.XLOOKUP(__xlnm._FilterDatabase_1571718[[#This Row],[SAPSA Number]],Table1[SAPSA number],Table1[Name])</f>
        <v>Johan</v>
      </c>
      <c r="E27" s="39" t="str">
        <f>_xlfn.XLOOKUP(__xlnm._FilterDatabase_1571718[[#This Row],[SAPSA Number]],Table1[SAPSA number],Table1[Surname])</f>
        <v>Jacobs</v>
      </c>
      <c r="F27" s="20" t="str">
        <f>_xlfn.XLOOKUP(__xlnm._FilterDatabase_1571718[[#This Row],[SAPSA Number]],Table1[SAPSA number],Table1[Initials])</f>
        <v>J</v>
      </c>
      <c r="G27" s="17" t="str">
        <f ca="1">_xlfn.XLOOKUP(__xlnm._FilterDatabase_1571718[[#This Row],[SAPSA Number]],Table1[SAPSA number],Table1[Gender])</f>
        <v xml:space="preserve"> </v>
      </c>
      <c r="H27" s="19" t="e">
        <f>_xlfn.XLOOKUP(__xlnm._FilterDatabase_1571718[[#This Row],[SAPSA Number]],#REF!,#REF!)</f>
        <v>#REF!</v>
      </c>
      <c r="I27" s="19" t="s">
        <v>242</v>
      </c>
      <c r="J27" s="21">
        <f t="shared" si="0"/>
        <v>0</v>
      </c>
      <c r="K27" s="22">
        <f t="shared" si="1"/>
        <v>0</v>
      </c>
      <c r="L27" s="23">
        <v>0</v>
      </c>
      <c r="M27" s="24">
        <v>0</v>
      </c>
      <c r="N27" s="23">
        <v>0</v>
      </c>
      <c r="O27" s="24">
        <v>0</v>
      </c>
      <c r="P27" s="23">
        <v>0</v>
      </c>
      <c r="Q27" s="24">
        <v>0</v>
      </c>
      <c r="R27" s="23">
        <v>0</v>
      </c>
      <c r="S27" s="24">
        <v>0</v>
      </c>
      <c r="T27" s="23">
        <v>0</v>
      </c>
      <c r="U27" s="24">
        <v>0</v>
      </c>
      <c r="V27" s="23">
        <v>0</v>
      </c>
      <c r="W27" s="24">
        <v>0</v>
      </c>
    </row>
    <row r="28" spans="1:23" ht="14.4" customHeight="1" x14ac:dyDescent="0.3">
      <c r="A28" s="17">
        <f t="shared" si="2"/>
        <v>2</v>
      </c>
      <c r="B28" s="88">
        <v>2655</v>
      </c>
      <c r="C28" s="88" t="str">
        <f>_xlfn.XLOOKUP(__xlnm._FilterDatabase_1571718[[#This Row],[SAPSA Number]],Table1[SAPSA number],Table1[Paid up])</f>
        <v>Y</v>
      </c>
      <c r="D28" s="39" t="str">
        <f>_xlfn.XLOOKUP(__xlnm._FilterDatabase_1571718[[#This Row],[SAPSA Number]],Table1[SAPSA number],Table1[Name])</f>
        <v>Ruben</v>
      </c>
      <c r="E28" s="39" t="str">
        <f>_xlfn.XLOOKUP(__xlnm._FilterDatabase_1571718[[#This Row],[SAPSA Number]],Table1[SAPSA number],Table1[Surname])</f>
        <v>Joubert</v>
      </c>
      <c r="F28" s="20" t="str">
        <f>_xlfn.XLOOKUP(__xlnm._FilterDatabase_1571718[[#This Row],[SAPSA Number]],Table1[SAPSA number],Table1[Initials])</f>
        <v>R</v>
      </c>
      <c r="G28" s="17" t="str">
        <f ca="1">_xlfn.XLOOKUP(__xlnm._FilterDatabase_1571718[[#This Row],[SAPSA Number]],Table1[SAPSA number],Table1[Gender])</f>
        <v>Jnr</v>
      </c>
      <c r="H28" s="19" t="e">
        <f>_xlfn.XLOOKUP(__xlnm._FilterDatabase_1571718[[#This Row],[SAPSA Number]],#REF!,#REF!)</f>
        <v>#REF!</v>
      </c>
      <c r="I28" s="19" t="s">
        <v>242</v>
      </c>
      <c r="J28" s="21">
        <f t="shared" si="0"/>
        <v>0</v>
      </c>
      <c r="K28" s="22">
        <f t="shared" si="1"/>
        <v>0</v>
      </c>
      <c r="L28" s="23">
        <v>0</v>
      </c>
      <c r="M28" s="24">
        <v>0</v>
      </c>
      <c r="N28" s="23">
        <v>0</v>
      </c>
      <c r="O28" s="24">
        <v>0</v>
      </c>
      <c r="P28" s="23">
        <v>0</v>
      </c>
      <c r="Q28" s="24">
        <v>0</v>
      </c>
      <c r="R28" s="23">
        <v>0</v>
      </c>
      <c r="S28" s="24">
        <v>0</v>
      </c>
      <c r="T28" s="23">
        <v>0</v>
      </c>
      <c r="U28" s="24">
        <v>0</v>
      </c>
      <c r="V28" s="23">
        <v>0</v>
      </c>
      <c r="W28" s="24">
        <v>0</v>
      </c>
    </row>
    <row r="29" spans="1:23" ht="14.4" customHeight="1" x14ac:dyDescent="0.3">
      <c r="A29" s="17">
        <f t="shared" si="2"/>
        <v>2</v>
      </c>
      <c r="B29" s="27">
        <v>3339</v>
      </c>
      <c r="C29" s="88" t="str">
        <f>_xlfn.XLOOKUP(__xlnm._FilterDatabase_1571718[[#This Row],[SAPSA Number]],Table1[SAPSA number],Table1[Paid up])</f>
        <v>Y</v>
      </c>
      <c r="D29" s="39" t="str">
        <f>_xlfn.XLOOKUP(__xlnm._FilterDatabase_1571718[[#This Row],[SAPSA Number]],Table1[SAPSA number],Table1[Name])</f>
        <v>Hendrik Johannes</v>
      </c>
      <c r="E29" s="39" t="str">
        <f>_xlfn.XLOOKUP(__xlnm._FilterDatabase_1571718[[#This Row],[SAPSA Number]],Table1[SAPSA number],Table1[Surname])</f>
        <v>Joubert</v>
      </c>
      <c r="F29" s="20" t="str">
        <f>_xlfn.XLOOKUP(__xlnm._FilterDatabase_1571718[[#This Row],[SAPSA Number]],Table1[SAPSA number],Table1[Initials])</f>
        <v>HJ</v>
      </c>
      <c r="G29" s="17" t="str">
        <f ca="1">_xlfn.XLOOKUP(__xlnm._FilterDatabase_1571718[[#This Row],[SAPSA Number]],Table1[SAPSA number],Table1[Gender])</f>
        <v>S</v>
      </c>
      <c r="H29" s="19" t="e">
        <f>_xlfn.XLOOKUP(__xlnm._FilterDatabase_1571718[[#This Row],[SAPSA Number]],#REF!,#REF!)</f>
        <v>#REF!</v>
      </c>
      <c r="I29" s="19" t="s">
        <v>242</v>
      </c>
      <c r="J29" s="21">
        <f t="shared" si="0"/>
        <v>0</v>
      </c>
      <c r="K29" s="22">
        <f t="shared" si="1"/>
        <v>0</v>
      </c>
      <c r="L29" s="23">
        <v>0</v>
      </c>
      <c r="M29" s="24">
        <v>0</v>
      </c>
      <c r="N29" s="23">
        <v>0</v>
      </c>
      <c r="O29" s="24">
        <v>0</v>
      </c>
      <c r="P29" s="23">
        <v>0</v>
      </c>
      <c r="Q29" s="24">
        <v>0</v>
      </c>
      <c r="R29" s="23">
        <v>0</v>
      </c>
      <c r="S29" s="24">
        <v>0</v>
      </c>
      <c r="T29" s="23">
        <v>0</v>
      </c>
      <c r="U29" s="24">
        <v>0</v>
      </c>
      <c r="V29" s="23">
        <v>0</v>
      </c>
      <c r="W29" s="24">
        <v>0</v>
      </c>
    </row>
    <row r="30" spans="1:23" ht="14.4" customHeight="1" x14ac:dyDescent="0.3">
      <c r="A30" s="17">
        <f t="shared" si="2"/>
        <v>2</v>
      </c>
      <c r="B30" s="88">
        <v>4094</v>
      </c>
      <c r="C30" s="88" t="str">
        <f>_xlfn.XLOOKUP(__xlnm._FilterDatabase_1571718[[#This Row],[SAPSA Number]],Table1[SAPSA number],Table1[Paid up])</f>
        <v>Y</v>
      </c>
      <c r="D30" s="39" t="str">
        <f>_xlfn.XLOOKUP(__xlnm._FilterDatabase_1571718[[#This Row],[SAPSA Number]],Table1[SAPSA number],Table1[Name])</f>
        <v>Johan</v>
      </c>
      <c r="E30" s="39" t="str">
        <f>_xlfn.XLOOKUP(__xlnm._FilterDatabase_1571718[[#This Row],[SAPSA Number]],Table1[SAPSA number],Table1[Surname])</f>
        <v>Kemp</v>
      </c>
      <c r="F30" s="20" t="str">
        <f>_xlfn.XLOOKUP(__xlnm._FilterDatabase_1571718[[#This Row],[SAPSA Number]],Table1[SAPSA number],Table1[Initials])</f>
        <v>J</v>
      </c>
      <c r="G30" s="17" t="str">
        <f ca="1">_xlfn.XLOOKUP(__xlnm._FilterDatabase_1571718[[#This Row],[SAPSA Number]],Table1[SAPSA number],Table1[Gender])</f>
        <v xml:space="preserve"> </v>
      </c>
      <c r="H30" s="19" t="e">
        <f>_xlfn.XLOOKUP(__xlnm._FilterDatabase_1571718[[#This Row],[SAPSA Number]],#REF!,#REF!)</f>
        <v>#REF!</v>
      </c>
      <c r="I30" s="19" t="s">
        <v>242</v>
      </c>
      <c r="J30" s="21">
        <f t="shared" si="0"/>
        <v>0</v>
      </c>
      <c r="K30" s="22">
        <f t="shared" si="1"/>
        <v>0</v>
      </c>
      <c r="L30" s="23">
        <v>0</v>
      </c>
      <c r="M30" s="24">
        <v>0</v>
      </c>
      <c r="N30" s="23">
        <v>0</v>
      </c>
      <c r="O30" s="24">
        <v>0</v>
      </c>
      <c r="P30" s="23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4">
        <v>0</v>
      </c>
    </row>
    <row r="31" spans="1:23" ht="14.4" customHeight="1" x14ac:dyDescent="0.3">
      <c r="A31" s="17">
        <f t="shared" si="2"/>
        <v>2</v>
      </c>
      <c r="B31" s="88">
        <v>6968</v>
      </c>
      <c r="C31" s="88" t="str">
        <f>_xlfn.XLOOKUP(__xlnm._FilterDatabase_1571718[[#This Row],[SAPSA Number]],Table1[SAPSA number],Table1[Paid up])</f>
        <v>Y</v>
      </c>
      <c r="D31" s="39" t="str">
        <f>_xlfn.XLOOKUP(__xlnm._FilterDatabase_1571718[[#This Row],[SAPSA Number]],Table1[SAPSA number],Table1[Name])</f>
        <v>Ian John</v>
      </c>
      <c r="E31" s="39" t="str">
        <f>_xlfn.XLOOKUP(__xlnm._FilterDatabase_1571718[[#This Row],[SAPSA Number]],Table1[SAPSA number],Table1[Surname])</f>
        <v>Kewley</v>
      </c>
      <c r="F31" s="20" t="str">
        <f>_xlfn.XLOOKUP(__xlnm._FilterDatabase_1571718[[#This Row],[SAPSA Number]],Table1[SAPSA number],Table1[Initials])</f>
        <v>IJ</v>
      </c>
      <c r="G31" s="17" t="str">
        <f ca="1">_xlfn.XLOOKUP(__xlnm._FilterDatabase_1571718[[#This Row],[SAPSA Number]],Table1[SAPSA number],Table1[Gender])</f>
        <v xml:space="preserve"> </v>
      </c>
      <c r="H31" s="19" t="e">
        <f>_xlfn.XLOOKUP(__xlnm._FilterDatabase_1571718[[#This Row],[SAPSA Number]],#REF!,#REF!)</f>
        <v>#REF!</v>
      </c>
      <c r="I31" s="19" t="s">
        <v>242</v>
      </c>
      <c r="J31" s="21">
        <f t="shared" si="0"/>
        <v>0</v>
      </c>
      <c r="K31" s="22">
        <f t="shared" si="1"/>
        <v>0</v>
      </c>
      <c r="L31" s="23">
        <v>0</v>
      </c>
      <c r="M31" s="24">
        <v>0</v>
      </c>
      <c r="N31" s="23">
        <v>0</v>
      </c>
      <c r="O31" s="24">
        <v>0</v>
      </c>
      <c r="P31" s="23">
        <v>0</v>
      </c>
      <c r="Q31" s="24">
        <v>0</v>
      </c>
      <c r="R31" s="23">
        <v>0</v>
      </c>
      <c r="S31" s="24">
        <v>0</v>
      </c>
      <c r="T31" s="23">
        <v>0</v>
      </c>
      <c r="U31" s="24">
        <v>0</v>
      </c>
      <c r="V31" s="23">
        <v>0</v>
      </c>
      <c r="W31" s="24">
        <v>0</v>
      </c>
    </row>
    <row r="32" spans="1:23" ht="14.4" customHeight="1" x14ac:dyDescent="0.3">
      <c r="A32" s="17">
        <f t="shared" si="2"/>
        <v>2</v>
      </c>
      <c r="B32" s="88">
        <v>7260</v>
      </c>
      <c r="C32" s="88">
        <f>_xlfn.XLOOKUP(__xlnm._FilterDatabase_1571718[[#This Row],[SAPSA Number]],Table1[SAPSA number],Table1[Paid up])</f>
        <v>0</v>
      </c>
      <c r="D32" s="39" t="str">
        <f>_xlfn.XLOOKUP(__xlnm._FilterDatabase_1571718[[#This Row],[SAPSA Number]],Table1[SAPSA number],Table1[Name])</f>
        <v>Glenn</v>
      </c>
      <c r="E32" s="39" t="str">
        <f>_xlfn.XLOOKUP(__xlnm._FilterDatabase_1571718[[#This Row],[SAPSA Number]],Table1[SAPSA number],Table1[Surname])</f>
        <v>Kieser</v>
      </c>
      <c r="F32" s="20" t="str">
        <f>_xlfn.XLOOKUP(__xlnm._FilterDatabase_1571718[[#This Row],[SAPSA Number]],Table1[SAPSA number],Table1[Initials])</f>
        <v>G</v>
      </c>
      <c r="G32" s="17" t="str">
        <f ca="1">_xlfn.XLOOKUP(__xlnm._FilterDatabase_1571718[[#This Row],[SAPSA Number]],Table1[SAPSA number],Table1[Gender])</f>
        <v>SS</v>
      </c>
      <c r="H32" s="19" t="e">
        <f>_xlfn.XLOOKUP(__xlnm._FilterDatabase_1571718[[#This Row],[SAPSA Number]],#REF!,#REF!)</f>
        <v>#REF!</v>
      </c>
      <c r="I32" s="19" t="s">
        <v>242</v>
      </c>
      <c r="J32" s="21">
        <f t="shared" si="0"/>
        <v>0</v>
      </c>
      <c r="K32" s="22">
        <f t="shared" si="1"/>
        <v>0</v>
      </c>
      <c r="L32" s="23">
        <v>0</v>
      </c>
      <c r="M32" s="24">
        <v>0</v>
      </c>
      <c r="N32" s="23">
        <v>0</v>
      </c>
      <c r="O32" s="24">
        <v>0</v>
      </c>
      <c r="P32" s="23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4">
        <v>0</v>
      </c>
    </row>
    <row r="33" spans="1:23" ht="14.4" customHeight="1" x14ac:dyDescent="0.3">
      <c r="A33" s="17">
        <f t="shared" si="2"/>
        <v>2</v>
      </c>
      <c r="B33" s="88">
        <v>252</v>
      </c>
      <c r="C33" s="88" t="str">
        <f>_xlfn.XLOOKUP(__xlnm._FilterDatabase_1571718[[#This Row],[SAPSA Number]],Table1[SAPSA number],Table1[Paid up])</f>
        <v>Y</v>
      </c>
      <c r="D33" s="39" t="str">
        <f>_xlfn.XLOOKUP(__xlnm._FilterDatabase_1571718[[#This Row],[SAPSA Number]],Table1[SAPSA number],Table1[Name])</f>
        <v>Deon</v>
      </c>
      <c r="E33" s="39" t="str">
        <f>_xlfn.XLOOKUP(__xlnm._FilterDatabase_1571718[[#This Row],[SAPSA Number]],Table1[SAPSA number],Table1[Surname])</f>
        <v>Labuschagne</v>
      </c>
      <c r="F33" s="20" t="str">
        <f>_xlfn.XLOOKUP(__xlnm._FilterDatabase_1571718[[#This Row],[SAPSA Number]],Table1[SAPSA number],Table1[Initials])</f>
        <v>D</v>
      </c>
      <c r="G33" s="17" t="str">
        <f ca="1">_xlfn.XLOOKUP(__xlnm._FilterDatabase_1571718[[#This Row],[SAPSA Number]],Table1[SAPSA number],Table1[Gender])</f>
        <v>GS</v>
      </c>
      <c r="H33" s="19" t="e">
        <f>_xlfn.XLOOKUP(__xlnm._FilterDatabase_1571718[[#This Row],[SAPSA Number]],#REF!,#REF!)</f>
        <v>#REF!</v>
      </c>
      <c r="I33" s="19" t="s">
        <v>242</v>
      </c>
      <c r="J33" s="21">
        <f t="shared" si="0"/>
        <v>0</v>
      </c>
      <c r="K33" s="22">
        <f t="shared" si="1"/>
        <v>0</v>
      </c>
      <c r="L33" s="23">
        <v>0</v>
      </c>
      <c r="M33" s="24">
        <v>0</v>
      </c>
      <c r="N33" s="23">
        <v>0</v>
      </c>
      <c r="O33" s="24">
        <v>0</v>
      </c>
      <c r="P33" s="23">
        <v>0</v>
      </c>
      <c r="Q33" s="24">
        <v>0</v>
      </c>
      <c r="R33" s="23">
        <v>0</v>
      </c>
      <c r="S33" s="24">
        <v>0</v>
      </c>
      <c r="T33" s="23">
        <v>0</v>
      </c>
      <c r="U33" s="24">
        <v>0</v>
      </c>
      <c r="V33" s="23">
        <v>0</v>
      </c>
      <c r="W33" s="24">
        <v>0</v>
      </c>
    </row>
    <row r="34" spans="1:23" ht="14.4" customHeight="1" x14ac:dyDescent="0.3">
      <c r="A34" s="17">
        <f t="shared" si="2"/>
        <v>2</v>
      </c>
      <c r="B34" s="27">
        <v>2651</v>
      </c>
      <c r="C34" s="88" t="str">
        <f>_xlfn.XLOOKUP(__xlnm._FilterDatabase_1571718[[#This Row],[SAPSA Number]],Table1[SAPSA number],Table1[Paid up])</f>
        <v>Y</v>
      </c>
      <c r="D34" s="39" t="str">
        <f>_xlfn.XLOOKUP(__xlnm._FilterDatabase_1571718[[#This Row],[SAPSA Number]],Table1[SAPSA number],Table1[Name])</f>
        <v>Paul Herman</v>
      </c>
      <c r="E34" s="39" t="str">
        <f>_xlfn.XLOOKUP(__xlnm._FilterDatabase_1571718[[#This Row],[SAPSA Number]],Table1[SAPSA number],Table1[Surname])</f>
        <v>Leuschner</v>
      </c>
      <c r="F34" s="20" t="str">
        <f>_xlfn.XLOOKUP(__xlnm._FilterDatabase_1571718[[#This Row],[SAPSA Number]],Table1[SAPSA number],Table1[Initials])</f>
        <v>PH</v>
      </c>
      <c r="G34" s="17" t="str">
        <f ca="1">_xlfn.XLOOKUP(__xlnm._FilterDatabase_1571718[[#This Row],[SAPSA Number]],Table1[SAPSA number],Table1[Gender])</f>
        <v>S</v>
      </c>
      <c r="H34" s="19" t="e">
        <f>_xlfn.XLOOKUP(__xlnm._FilterDatabase_1571718[[#This Row],[SAPSA Number]],#REF!,#REF!)</f>
        <v>#REF!</v>
      </c>
      <c r="I34" s="19" t="s">
        <v>242</v>
      </c>
      <c r="J34" s="21">
        <f t="shared" ref="J34:J66" si="3">(IF(L34&gt;0,1,0)+(IF(M34&gt;0,1,0))+(IF(N34&gt;0,1,0))+(IF(O34&gt;0,1,0))+(IF(P34&gt;0,1,0))+(IF(Q34&gt;0,1,0))+(IF(R34&gt;0,1,0))+(IF(S34&gt;0,1,0))+(IF(T34&gt;0,1,0))+(IF(U34&gt;0,1,0))+(IF(V34&gt;0,1,0))+(IF(W34&gt;0,1,0)))</f>
        <v>0</v>
      </c>
      <c r="K34" s="22">
        <f t="shared" ref="K34:K65" si="4">(LARGE(L34:U34,1)+LARGE(L34:U34,2)+LARGE(L34:U34,3)+LARGE(L34:U34,4)+LARGE(L34:U34,5))/5</f>
        <v>0</v>
      </c>
      <c r="L34" s="23">
        <v>0</v>
      </c>
      <c r="M34" s="24">
        <v>0</v>
      </c>
      <c r="N34" s="23">
        <v>0</v>
      </c>
      <c r="O34" s="24">
        <v>0</v>
      </c>
      <c r="P34" s="23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4">
        <v>0</v>
      </c>
    </row>
    <row r="35" spans="1:23" ht="14.4" customHeight="1" x14ac:dyDescent="0.3">
      <c r="A35" s="17">
        <f t="shared" si="2"/>
        <v>2</v>
      </c>
      <c r="B35" s="90">
        <v>683</v>
      </c>
      <c r="C35" s="88">
        <f>_xlfn.XLOOKUP(__xlnm._FilterDatabase_1571718[[#This Row],[SAPSA Number]],Table1[SAPSA number],Table1[Paid up])</f>
        <v>0</v>
      </c>
      <c r="D35" s="39" t="str">
        <f>_xlfn.XLOOKUP(__xlnm._FilterDatabase_1571718[[#This Row],[SAPSA Number]],Table1[SAPSA number],Table1[Name])</f>
        <v>Ivor</v>
      </c>
      <c r="E35" s="39" t="str">
        <f>_xlfn.XLOOKUP(__xlnm._FilterDatabase_1571718[[#This Row],[SAPSA Number]],Table1[SAPSA number],Table1[Surname])</f>
        <v>Marais</v>
      </c>
      <c r="F35" s="20" t="str">
        <f>_xlfn.XLOOKUP(__xlnm._FilterDatabase_1571718[[#This Row],[SAPSA Number]],Table1[SAPSA number],Table1[Initials])</f>
        <v>I</v>
      </c>
      <c r="G35" s="17" t="str">
        <f ca="1">_xlfn.XLOOKUP(__xlnm._FilterDatabase_1571718[[#This Row],[SAPSA Number]],Table1[SAPSA number],Table1[Gender])</f>
        <v>S</v>
      </c>
      <c r="H35" s="19" t="e">
        <f>_xlfn.XLOOKUP(__xlnm._FilterDatabase_1571718[[#This Row],[SAPSA Number]],#REF!,#REF!)</f>
        <v>#REF!</v>
      </c>
      <c r="I35" s="19" t="s">
        <v>242</v>
      </c>
      <c r="J35" s="21">
        <f t="shared" si="3"/>
        <v>0</v>
      </c>
      <c r="K35" s="22">
        <f t="shared" si="4"/>
        <v>0</v>
      </c>
      <c r="L35" s="23">
        <v>0</v>
      </c>
      <c r="M35" s="24">
        <v>0</v>
      </c>
      <c r="N35" s="23">
        <v>0</v>
      </c>
      <c r="O35" s="24">
        <v>0</v>
      </c>
      <c r="P35" s="23">
        <v>0</v>
      </c>
      <c r="Q35" s="24">
        <v>0</v>
      </c>
      <c r="R35" s="23">
        <v>0</v>
      </c>
      <c r="S35" s="24">
        <v>0</v>
      </c>
      <c r="T35" s="23">
        <v>0</v>
      </c>
      <c r="U35" s="24">
        <v>0</v>
      </c>
      <c r="V35" s="23">
        <v>0</v>
      </c>
      <c r="W35" s="24">
        <v>0</v>
      </c>
    </row>
    <row r="36" spans="1:23" ht="14.4" customHeight="1" x14ac:dyDescent="0.3">
      <c r="A36" s="17">
        <f t="shared" si="2"/>
        <v>2</v>
      </c>
      <c r="B36" s="89">
        <v>4862</v>
      </c>
      <c r="C36" s="88" t="str">
        <f>_xlfn.XLOOKUP(__xlnm._FilterDatabase_1571718[[#This Row],[SAPSA Number]],Table1[SAPSA number],Table1[Paid up])</f>
        <v>Y</v>
      </c>
      <c r="D36" s="39" t="str">
        <f>_xlfn.XLOOKUP(__xlnm._FilterDatabase_1571718[[#This Row],[SAPSA Number]],Table1[SAPSA number],Table1[Name])</f>
        <v>George Keith</v>
      </c>
      <c r="E36" s="39" t="str">
        <f>_xlfn.XLOOKUP(__xlnm._FilterDatabase_1571718[[#This Row],[SAPSA Number]],Table1[SAPSA number],Table1[Surname])</f>
        <v>Marais</v>
      </c>
      <c r="F36" s="20" t="str">
        <f>_xlfn.XLOOKUP(__xlnm._FilterDatabase_1571718[[#This Row],[SAPSA Number]],Table1[SAPSA number],Table1[Initials])</f>
        <v>GK</v>
      </c>
      <c r="G36" s="17" t="str">
        <f ca="1">_xlfn.XLOOKUP(__xlnm._FilterDatabase_1571718[[#This Row],[SAPSA Number]],Table1[SAPSA number],Table1[Gender])</f>
        <v>S</v>
      </c>
      <c r="H36" s="19" t="e">
        <f>_xlfn.XLOOKUP(__xlnm._FilterDatabase_1571718[[#This Row],[SAPSA Number]],#REF!,#REF!)</f>
        <v>#REF!</v>
      </c>
      <c r="I36" s="19" t="s">
        <v>242</v>
      </c>
      <c r="J36" s="21">
        <f t="shared" si="3"/>
        <v>0</v>
      </c>
      <c r="K36" s="22">
        <f t="shared" si="4"/>
        <v>0</v>
      </c>
      <c r="L36" s="23">
        <v>0</v>
      </c>
      <c r="M36" s="24">
        <v>0</v>
      </c>
      <c r="N36" s="23">
        <v>0</v>
      </c>
      <c r="O36" s="24">
        <v>0</v>
      </c>
      <c r="P36" s="23">
        <v>0</v>
      </c>
      <c r="Q36" s="24">
        <v>0</v>
      </c>
      <c r="R36" s="23">
        <v>0</v>
      </c>
      <c r="S36" s="24">
        <v>0</v>
      </c>
      <c r="T36" s="23">
        <v>0</v>
      </c>
      <c r="U36" s="24">
        <v>0</v>
      </c>
      <c r="V36" s="23">
        <v>0</v>
      </c>
      <c r="W36" s="24">
        <v>0</v>
      </c>
    </row>
    <row r="37" spans="1:23" ht="14.4" customHeight="1" x14ac:dyDescent="0.3">
      <c r="A37" s="17">
        <f t="shared" si="2"/>
        <v>2</v>
      </c>
      <c r="B37" s="88">
        <v>6966</v>
      </c>
      <c r="C37" s="88" t="str">
        <f>_xlfn.XLOOKUP(__xlnm._FilterDatabase_1571718[[#This Row],[SAPSA Number]],Table1[SAPSA number],Table1[Paid up])</f>
        <v>Y</v>
      </c>
      <c r="D37" s="39" t="str">
        <f>_xlfn.XLOOKUP(__xlnm._FilterDatabase_1571718[[#This Row],[SAPSA Number]],Table1[SAPSA number],Table1[Name])</f>
        <v>James</v>
      </c>
      <c r="E37" s="39" t="str">
        <f>_xlfn.XLOOKUP(__xlnm._FilterDatabase_1571718[[#This Row],[SAPSA Number]],Table1[SAPSA number],Table1[Surname])</f>
        <v>Masonganye</v>
      </c>
      <c r="F37" s="20" t="str">
        <f>_xlfn.XLOOKUP(__xlnm._FilterDatabase_1571718[[#This Row],[SAPSA Number]],Table1[SAPSA number],Table1[Initials])</f>
        <v>J</v>
      </c>
      <c r="G37" s="17" t="str">
        <f ca="1">_xlfn.XLOOKUP(__xlnm._FilterDatabase_1571718[[#This Row],[SAPSA Number]],Table1[SAPSA number],Table1[Gender])</f>
        <v>S</v>
      </c>
      <c r="H37" s="19" t="e">
        <f>_xlfn.XLOOKUP(__xlnm._FilterDatabase_1571718[[#This Row],[SAPSA Number]],#REF!,#REF!)</f>
        <v>#REF!</v>
      </c>
      <c r="I37" s="19" t="s">
        <v>242</v>
      </c>
      <c r="J37" s="21">
        <f t="shared" si="3"/>
        <v>0</v>
      </c>
      <c r="K37" s="22">
        <f t="shared" si="4"/>
        <v>0</v>
      </c>
      <c r="L37" s="23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  <c r="T37" s="23">
        <v>0</v>
      </c>
      <c r="U37" s="24">
        <v>0</v>
      </c>
      <c r="V37" s="23">
        <v>0</v>
      </c>
      <c r="W37" s="24">
        <v>0</v>
      </c>
    </row>
    <row r="38" spans="1:23" ht="14.4" customHeight="1" x14ac:dyDescent="0.3">
      <c r="A38" s="17">
        <f t="shared" si="2"/>
        <v>2</v>
      </c>
      <c r="B38" s="27">
        <v>7132</v>
      </c>
      <c r="C38" s="88" t="str">
        <f>_xlfn.XLOOKUP(__xlnm._FilterDatabase_1571718[[#This Row],[SAPSA Number]],Table1[SAPSA number],Table1[Paid up])</f>
        <v>Y</v>
      </c>
      <c r="D38" s="39" t="str">
        <f>_xlfn.XLOOKUP(__xlnm._FilterDatabase_1571718[[#This Row],[SAPSA Number]],Table1[SAPSA number],Table1[Name])</f>
        <v>Yussuf</v>
      </c>
      <c r="E38" s="39" t="str">
        <f>_xlfn.XLOOKUP(__xlnm._FilterDatabase_1571718[[#This Row],[SAPSA Number]],Table1[SAPSA number],Table1[Surname])</f>
        <v>Mayet</v>
      </c>
      <c r="F38" s="20" t="str">
        <f>_xlfn.XLOOKUP(__xlnm._FilterDatabase_1571718[[#This Row],[SAPSA Number]],Table1[SAPSA number],Table1[Initials])</f>
        <v>Y</v>
      </c>
      <c r="G38" s="17" t="str">
        <f ca="1">_xlfn.XLOOKUP(__xlnm._FilterDatabase_1571718[[#This Row],[SAPSA Number]],Table1[SAPSA number],Table1[Gender])</f>
        <v>GS</v>
      </c>
      <c r="H38" s="19" t="e">
        <f>_xlfn.XLOOKUP(__xlnm._FilterDatabase_1571718[[#This Row],[SAPSA Number]],#REF!,#REF!)</f>
        <v>#REF!</v>
      </c>
      <c r="I38" s="19" t="s">
        <v>242</v>
      </c>
      <c r="J38" s="21">
        <f t="shared" si="3"/>
        <v>0</v>
      </c>
      <c r="K38" s="22">
        <f t="shared" si="4"/>
        <v>0</v>
      </c>
      <c r="L38" s="23">
        <v>0</v>
      </c>
      <c r="M38" s="24">
        <v>0</v>
      </c>
      <c r="N38" s="23">
        <v>0</v>
      </c>
      <c r="O38" s="24">
        <v>0</v>
      </c>
      <c r="P38" s="23">
        <v>0</v>
      </c>
      <c r="Q38" s="24">
        <v>0</v>
      </c>
      <c r="R38" s="23">
        <v>0</v>
      </c>
      <c r="S38" s="24">
        <v>0</v>
      </c>
      <c r="T38" s="23">
        <v>0</v>
      </c>
      <c r="U38" s="24">
        <v>0</v>
      </c>
      <c r="V38" s="23">
        <v>0</v>
      </c>
      <c r="W38" s="24">
        <v>0</v>
      </c>
    </row>
    <row r="39" spans="1:23" ht="14.4" customHeight="1" x14ac:dyDescent="0.3">
      <c r="A39" s="17">
        <f t="shared" si="2"/>
        <v>2</v>
      </c>
      <c r="B39" s="88">
        <v>851</v>
      </c>
      <c r="C39" s="88" t="str">
        <f>_xlfn.XLOOKUP(__xlnm._FilterDatabase_1571718[[#This Row],[SAPSA Number]],Table1[SAPSA number],Table1[Paid up])</f>
        <v>Y</v>
      </c>
      <c r="D39" s="39" t="str">
        <f>_xlfn.XLOOKUP(__xlnm._FilterDatabase_1571718[[#This Row],[SAPSA Number]],Table1[SAPSA number],Table1[Name])</f>
        <v>Ian David</v>
      </c>
      <c r="E39" s="39" t="str">
        <f>_xlfn.XLOOKUP(__xlnm._FilterDatabase_1571718[[#This Row],[SAPSA Number]],Table1[SAPSA number],Table1[Surname])</f>
        <v>McLaren</v>
      </c>
      <c r="F39" s="20" t="str">
        <f>_xlfn.XLOOKUP(__xlnm._FilterDatabase_1571718[[#This Row],[SAPSA Number]],Table1[SAPSA number],Table1[Initials])</f>
        <v>ID</v>
      </c>
      <c r="G39" s="17" t="str">
        <f ca="1">_xlfn.XLOOKUP(__xlnm._FilterDatabase_1571718[[#This Row],[SAPSA Number]],Table1[SAPSA number],Table1[Gender])</f>
        <v>SS</v>
      </c>
      <c r="H39" s="19" t="e">
        <f>_xlfn.XLOOKUP(__xlnm._FilterDatabase_1571718[[#This Row],[SAPSA Number]],#REF!,#REF!)</f>
        <v>#REF!</v>
      </c>
      <c r="I39" s="19" t="s">
        <v>242</v>
      </c>
      <c r="J39" s="21">
        <f t="shared" si="3"/>
        <v>0</v>
      </c>
      <c r="K39" s="22">
        <f t="shared" si="4"/>
        <v>0</v>
      </c>
      <c r="L39" s="23">
        <v>0</v>
      </c>
      <c r="M39" s="24">
        <v>0</v>
      </c>
      <c r="N39" s="23">
        <v>0</v>
      </c>
      <c r="O39" s="24">
        <v>0</v>
      </c>
      <c r="P39" s="23">
        <v>0</v>
      </c>
      <c r="Q39" s="24">
        <v>0</v>
      </c>
      <c r="R39" s="23">
        <v>0</v>
      </c>
      <c r="S39" s="24">
        <v>0</v>
      </c>
      <c r="T39" s="23">
        <v>0</v>
      </c>
      <c r="U39" s="24">
        <v>0</v>
      </c>
      <c r="V39" s="23">
        <v>0</v>
      </c>
      <c r="W39" s="24">
        <v>0</v>
      </c>
    </row>
    <row r="40" spans="1:23" ht="14.4" customHeight="1" x14ac:dyDescent="0.3">
      <c r="A40" s="17">
        <f t="shared" ref="A40:A69" si="5">RANK(K40,K$2:K$141,0)</f>
        <v>2</v>
      </c>
      <c r="B40" s="89">
        <v>5200</v>
      </c>
      <c r="C40" s="88">
        <f>_xlfn.XLOOKUP(__xlnm._FilterDatabase_1571718[[#This Row],[SAPSA Number]],Table1[SAPSA number],Table1[Paid up])</f>
        <v>0</v>
      </c>
      <c r="D40" s="39" t="str">
        <f>_xlfn.XLOOKUP(__xlnm._FilterDatabase_1571718[[#This Row],[SAPSA Number]],Table1[SAPSA number],Table1[Name])</f>
        <v>Daniel</v>
      </c>
      <c r="E40" s="39" t="str">
        <f>_xlfn.XLOOKUP(__xlnm._FilterDatabase_1571718[[#This Row],[SAPSA Number]],Table1[SAPSA number],Table1[Surname])</f>
        <v>McWilliam</v>
      </c>
      <c r="F40" s="20" t="str">
        <f>_xlfn.XLOOKUP(__xlnm._FilterDatabase_1571718[[#This Row],[SAPSA Number]],Table1[SAPSA number],Table1[Initials])</f>
        <v>D</v>
      </c>
      <c r="G40" s="17" t="str">
        <f ca="1">_xlfn.XLOOKUP(__xlnm._FilterDatabase_1571718[[#This Row],[SAPSA Number]],Table1[SAPSA number],Table1[Gender])</f>
        <v xml:space="preserve"> </v>
      </c>
      <c r="H40" s="19" t="e">
        <f>_xlfn.XLOOKUP(__xlnm._FilterDatabase_1571718[[#This Row],[SAPSA Number]],#REF!,#REF!)</f>
        <v>#REF!</v>
      </c>
      <c r="I40" s="19" t="s">
        <v>242</v>
      </c>
      <c r="J40" s="21">
        <f t="shared" si="3"/>
        <v>0</v>
      </c>
      <c r="K40" s="22">
        <f t="shared" si="4"/>
        <v>0</v>
      </c>
      <c r="L40" s="23">
        <v>0</v>
      </c>
      <c r="M40" s="24">
        <v>0</v>
      </c>
      <c r="N40" s="23">
        <v>0</v>
      </c>
      <c r="O40" s="24">
        <v>0</v>
      </c>
      <c r="P40" s="23">
        <v>0</v>
      </c>
      <c r="Q40" s="24">
        <v>0</v>
      </c>
      <c r="R40" s="23">
        <v>0</v>
      </c>
      <c r="S40" s="24">
        <v>0</v>
      </c>
      <c r="T40" s="23">
        <v>0</v>
      </c>
      <c r="U40" s="24">
        <v>0</v>
      </c>
      <c r="V40" s="23">
        <v>0</v>
      </c>
      <c r="W40" s="24">
        <v>0</v>
      </c>
    </row>
    <row r="41" spans="1:23" ht="14.4" customHeight="1" x14ac:dyDescent="0.3">
      <c r="A41" s="17">
        <f t="shared" si="5"/>
        <v>2</v>
      </c>
      <c r="B41" s="88">
        <v>1771</v>
      </c>
      <c r="C41" s="88" t="str">
        <f>_xlfn.XLOOKUP(__xlnm._FilterDatabase_1571718[[#This Row],[SAPSA Number]],Table1[SAPSA number],Table1[Paid up])</f>
        <v>Y</v>
      </c>
      <c r="D41" s="39" t="str">
        <f>_xlfn.XLOOKUP(__xlnm._FilterDatabase_1571718[[#This Row],[SAPSA Number]],Table1[SAPSA number],Table1[Name])</f>
        <v>Rodney Ralph</v>
      </c>
      <c r="E41" s="39" t="str">
        <f>_xlfn.XLOOKUP(__xlnm._FilterDatabase_1571718[[#This Row],[SAPSA Number]],Table1[SAPSA number],Table1[Surname])</f>
        <v>Mills</v>
      </c>
      <c r="F41" s="20" t="str">
        <f>_xlfn.XLOOKUP(__xlnm._FilterDatabase_1571718[[#This Row],[SAPSA Number]],Table1[SAPSA number],Table1[Initials])</f>
        <v>RR</v>
      </c>
      <c r="G41" s="17" t="str">
        <f ca="1">_xlfn.XLOOKUP(__xlnm._FilterDatabase_1571718[[#This Row],[SAPSA Number]],Table1[SAPSA number],Table1[Gender])</f>
        <v>GS</v>
      </c>
      <c r="H41" s="19" t="e">
        <f>_xlfn.XLOOKUP(__xlnm._FilterDatabase_1571718[[#This Row],[SAPSA Number]],#REF!,#REF!)</f>
        <v>#REF!</v>
      </c>
      <c r="I41" s="19" t="s">
        <v>242</v>
      </c>
      <c r="J41" s="21">
        <f t="shared" si="3"/>
        <v>0</v>
      </c>
      <c r="K41" s="22">
        <f t="shared" si="4"/>
        <v>0</v>
      </c>
      <c r="L41" s="23">
        <v>0</v>
      </c>
      <c r="M41" s="24">
        <v>0</v>
      </c>
      <c r="N41" s="23">
        <v>0</v>
      </c>
      <c r="O41" s="24">
        <v>0</v>
      </c>
      <c r="P41" s="23">
        <v>0</v>
      </c>
      <c r="Q41" s="24">
        <v>0</v>
      </c>
      <c r="R41" s="23">
        <v>0</v>
      </c>
      <c r="S41" s="24">
        <v>0</v>
      </c>
      <c r="T41" s="23">
        <v>0</v>
      </c>
      <c r="U41" s="24">
        <v>0</v>
      </c>
      <c r="V41" s="23">
        <v>0</v>
      </c>
      <c r="W41" s="24">
        <v>0</v>
      </c>
    </row>
    <row r="42" spans="1:23" ht="14.25" customHeight="1" x14ac:dyDescent="0.3">
      <c r="A42" s="17">
        <f t="shared" si="5"/>
        <v>2</v>
      </c>
      <c r="B42" s="88">
        <v>1637</v>
      </c>
      <c r="C42" s="88">
        <f>_xlfn.XLOOKUP(__xlnm._FilterDatabase_1571718[[#This Row],[SAPSA Number]],Table1[SAPSA number],Table1[Paid up])</f>
        <v>0</v>
      </c>
      <c r="D42" s="39" t="str">
        <f>_xlfn.XLOOKUP(__xlnm._FilterDatabase_1571718[[#This Row],[SAPSA Number]],Table1[SAPSA number],Table1[Name])</f>
        <v>Andre Johann Pieter</v>
      </c>
      <c r="E42" s="39" t="str">
        <f>_xlfn.XLOOKUP(__xlnm._FilterDatabase_1571718[[#This Row],[SAPSA Number]],Table1[SAPSA number],Table1[Surname])</f>
        <v>Mouton</v>
      </c>
      <c r="F42" s="20" t="str">
        <f>_xlfn.XLOOKUP(__xlnm._FilterDatabase_1571718[[#This Row],[SAPSA Number]],Table1[SAPSA number],Table1[Initials])</f>
        <v>AJP</v>
      </c>
      <c r="G42" s="17" t="str">
        <f ca="1">_xlfn.XLOOKUP(__xlnm._FilterDatabase_1571718[[#This Row],[SAPSA Number]],Table1[SAPSA number],Table1[Gender])</f>
        <v>GS</v>
      </c>
      <c r="H42" s="19" t="e">
        <f>_xlfn.XLOOKUP(__xlnm._FilterDatabase_1571718[[#This Row],[SAPSA Number]],#REF!,#REF!)</f>
        <v>#REF!</v>
      </c>
      <c r="I42" s="19" t="s">
        <v>242</v>
      </c>
      <c r="J42" s="21">
        <f t="shared" si="3"/>
        <v>0</v>
      </c>
      <c r="K42" s="22">
        <f t="shared" si="4"/>
        <v>0</v>
      </c>
      <c r="L42" s="23">
        <v>0</v>
      </c>
      <c r="M42" s="24">
        <v>0</v>
      </c>
      <c r="N42" s="23">
        <v>0</v>
      </c>
      <c r="O42" s="24">
        <v>0</v>
      </c>
      <c r="P42" s="23">
        <v>0</v>
      </c>
      <c r="Q42" s="24">
        <v>0</v>
      </c>
      <c r="R42" s="23">
        <v>0</v>
      </c>
      <c r="S42" s="24">
        <v>0</v>
      </c>
      <c r="T42" s="23">
        <v>0</v>
      </c>
      <c r="U42" s="24">
        <v>0</v>
      </c>
      <c r="V42" s="23">
        <v>0</v>
      </c>
      <c r="W42" s="24">
        <v>0</v>
      </c>
    </row>
    <row r="43" spans="1:23" ht="14.4" customHeight="1" x14ac:dyDescent="0.3">
      <c r="A43" s="17">
        <f t="shared" si="5"/>
        <v>2</v>
      </c>
      <c r="B43" s="89">
        <v>5804</v>
      </c>
      <c r="C43" s="88" t="str">
        <f>_xlfn.XLOOKUP(__xlnm._FilterDatabase_1571718[[#This Row],[SAPSA Number]],Table1[SAPSA number],Table1[Paid up])</f>
        <v>Y</v>
      </c>
      <c r="D43" s="39" t="str">
        <f>_xlfn.XLOOKUP(__xlnm._FilterDatabase_1571718[[#This Row],[SAPSA Number]],Table1[SAPSA number],Table1[Name])</f>
        <v>Louis Johannes</v>
      </c>
      <c r="E43" s="39" t="str">
        <f>_xlfn.XLOOKUP(__xlnm._FilterDatabase_1571718[[#This Row],[SAPSA Number]],Table1[SAPSA number],Table1[Surname])</f>
        <v>Nel</v>
      </c>
      <c r="F43" s="20" t="str">
        <f>_xlfn.XLOOKUP(__xlnm._FilterDatabase_1571718[[#This Row],[SAPSA Number]],Table1[SAPSA number],Table1[Initials])</f>
        <v>LJ</v>
      </c>
      <c r="G43" s="17" t="str">
        <f ca="1">_xlfn.XLOOKUP(__xlnm._FilterDatabase_1571718[[#This Row],[SAPSA Number]],Table1[SAPSA number],Table1[Gender])</f>
        <v xml:space="preserve"> </v>
      </c>
      <c r="H43" s="19" t="e">
        <f>_xlfn.XLOOKUP(__xlnm._FilterDatabase_1571718[[#This Row],[SAPSA Number]],#REF!,#REF!)</f>
        <v>#REF!</v>
      </c>
      <c r="I43" s="19" t="s">
        <v>242</v>
      </c>
      <c r="J43" s="21">
        <f t="shared" si="3"/>
        <v>0</v>
      </c>
      <c r="K43" s="22">
        <f t="shared" si="4"/>
        <v>0</v>
      </c>
      <c r="L43" s="23">
        <v>0</v>
      </c>
      <c r="M43" s="24">
        <v>0</v>
      </c>
      <c r="N43" s="23">
        <v>0</v>
      </c>
      <c r="O43" s="24">
        <v>0</v>
      </c>
      <c r="P43" s="23">
        <v>0</v>
      </c>
      <c r="Q43" s="24">
        <v>0</v>
      </c>
      <c r="R43" s="23">
        <v>0</v>
      </c>
      <c r="S43" s="24">
        <v>0</v>
      </c>
      <c r="T43" s="23">
        <v>0</v>
      </c>
      <c r="U43" s="24">
        <v>0</v>
      </c>
      <c r="V43" s="23">
        <v>0</v>
      </c>
      <c r="W43" s="24">
        <v>0</v>
      </c>
    </row>
    <row r="44" spans="1:23" ht="14.4" customHeight="1" x14ac:dyDescent="0.3">
      <c r="A44" s="17">
        <f t="shared" si="5"/>
        <v>2</v>
      </c>
      <c r="B44" s="88">
        <v>250</v>
      </c>
      <c r="C44" s="88">
        <f>_xlfn.XLOOKUP(__xlnm._FilterDatabase_1571718[[#This Row],[SAPSA Number]],Table1[SAPSA number],Table1[Paid up])</f>
        <v>0</v>
      </c>
      <c r="D44" s="39" t="str">
        <f>_xlfn.XLOOKUP(__xlnm._FilterDatabase_1571718[[#This Row],[SAPSA Number]],Table1[SAPSA number],Table1[Name])</f>
        <v>Adriano Walter</v>
      </c>
      <c r="E44" s="39" t="str">
        <f>_xlfn.XLOOKUP(__xlnm._FilterDatabase_1571718[[#This Row],[SAPSA Number]],Table1[SAPSA number],Table1[Surname])</f>
        <v>Paschini</v>
      </c>
      <c r="F44" s="20" t="str">
        <f>_xlfn.XLOOKUP(__xlnm._FilterDatabase_1571718[[#This Row],[SAPSA Number]],Table1[SAPSA number],Table1[Initials])</f>
        <v>AW</v>
      </c>
      <c r="G44" s="17" t="str">
        <f ca="1">_xlfn.XLOOKUP(__xlnm._FilterDatabase_1571718[[#This Row],[SAPSA Number]],Table1[SAPSA number],Table1[Gender])</f>
        <v>SS</v>
      </c>
      <c r="H44" s="19" t="e">
        <f>_xlfn.XLOOKUP(__xlnm._FilterDatabase_1571718[[#This Row],[SAPSA Number]],#REF!,#REF!)</f>
        <v>#REF!</v>
      </c>
      <c r="I44" s="19" t="s">
        <v>242</v>
      </c>
      <c r="J44" s="21">
        <f t="shared" si="3"/>
        <v>0</v>
      </c>
      <c r="K44" s="22">
        <f t="shared" si="4"/>
        <v>0</v>
      </c>
      <c r="L44" s="23">
        <v>0</v>
      </c>
      <c r="M44" s="24">
        <v>0</v>
      </c>
      <c r="N44" s="23">
        <v>0</v>
      </c>
      <c r="O44" s="24">
        <v>0</v>
      </c>
      <c r="P44" s="23">
        <v>0</v>
      </c>
      <c r="Q44" s="24">
        <v>0</v>
      </c>
      <c r="R44" s="23">
        <v>0</v>
      </c>
      <c r="S44" s="24">
        <v>0</v>
      </c>
      <c r="T44" s="23">
        <v>0</v>
      </c>
      <c r="U44" s="24">
        <v>0</v>
      </c>
      <c r="V44" s="23">
        <v>0</v>
      </c>
      <c r="W44" s="24">
        <v>0</v>
      </c>
    </row>
    <row r="45" spans="1:23" ht="14.4" customHeight="1" x14ac:dyDescent="0.3">
      <c r="A45" s="17">
        <f t="shared" si="5"/>
        <v>2</v>
      </c>
      <c r="B45" s="89">
        <v>6633</v>
      </c>
      <c r="C45" s="88">
        <f>_xlfn.XLOOKUP(__xlnm._FilterDatabase_1571718[[#This Row],[SAPSA Number]],Table1[SAPSA number],Table1[Paid up])</f>
        <v>0</v>
      </c>
      <c r="D45" s="39" t="str">
        <f>_xlfn.XLOOKUP(__xlnm._FilterDatabase_1571718[[#This Row],[SAPSA Number]],Table1[SAPSA number],Table1[Name])</f>
        <v>Allessandro Raffaele</v>
      </c>
      <c r="E45" s="39" t="str">
        <f>_xlfn.XLOOKUP(__xlnm._FilterDatabase_1571718[[#This Row],[SAPSA Number]],Table1[SAPSA number],Table1[Surname])</f>
        <v>Paschini</v>
      </c>
      <c r="F45" s="20" t="str">
        <f>_xlfn.XLOOKUP(__xlnm._FilterDatabase_1571718[[#This Row],[SAPSA Number]],Table1[SAPSA number],Table1[Initials])</f>
        <v>AR</v>
      </c>
      <c r="G45" s="17" t="str">
        <f ca="1">_xlfn.XLOOKUP(__xlnm._FilterDatabase_1571718[[#This Row],[SAPSA Number]],Table1[SAPSA number],Table1[Gender])</f>
        <v xml:space="preserve"> </v>
      </c>
      <c r="H45" s="19" t="e">
        <f>_xlfn.XLOOKUP(__xlnm._FilterDatabase_1571718[[#This Row],[SAPSA Number]],#REF!,#REF!)</f>
        <v>#REF!</v>
      </c>
      <c r="I45" s="19" t="s">
        <v>242</v>
      </c>
      <c r="J45" s="21">
        <f t="shared" si="3"/>
        <v>0</v>
      </c>
      <c r="K45" s="22">
        <f t="shared" si="4"/>
        <v>0</v>
      </c>
      <c r="L45" s="23">
        <v>0</v>
      </c>
      <c r="M45" s="24">
        <v>0</v>
      </c>
      <c r="N45" s="23">
        <v>0</v>
      </c>
      <c r="O45" s="24">
        <v>0</v>
      </c>
      <c r="P45" s="23">
        <v>0</v>
      </c>
      <c r="Q45" s="24">
        <v>0</v>
      </c>
      <c r="R45" s="23">
        <v>0</v>
      </c>
      <c r="S45" s="24">
        <v>0</v>
      </c>
      <c r="T45" s="23">
        <v>0</v>
      </c>
      <c r="U45" s="24">
        <v>0</v>
      </c>
      <c r="V45" s="23">
        <v>0</v>
      </c>
      <c r="W45" s="24">
        <v>0</v>
      </c>
    </row>
    <row r="46" spans="1:23" ht="14.4" customHeight="1" x14ac:dyDescent="0.3">
      <c r="A46" s="17">
        <f t="shared" si="5"/>
        <v>2</v>
      </c>
      <c r="B46" s="89">
        <v>7478</v>
      </c>
      <c r="C46" s="88">
        <f>_xlfn.XLOOKUP(__xlnm._FilterDatabase_1571718[[#This Row],[SAPSA Number]],Table1[SAPSA number],Table1[Paid up])</f>
        <v>0</v>
      </c>
      <c r="D46" s="39" t="str">
        <f>_xlfn.XLOOKUP(__xlnm._FilterDatabase_1571718[[#This Row],[SAPSA Number]],Table1[SAPSA number],Table1[Name])</f>
        <v>Annemarie</v>
      </c>
      <c r="E46" s="39" t="str">
        <f>_xlfn.XLOOKUP(__xlnm._FilterDatabase_1571718[[#This Row],[SAPSA Number]],Table1[SAPSA number],Table1[Surname])</f>
        <v>Pienaar</v>
      </c>
      <c r="F46" s="20" t="str">
        <f>_xlfn.XLOOKUP(__xlnm._FilterDatabase_1571718[[#This Row],[SAPSA Number]],Table1[SAPSA number],Table1[Initials])</f>
        <v>A</v>
      </c>
      <c r="G46" s="17" t="str">
        <f>_xlfn.XLOOKUP(__xlnm._FilterDatabase_1571718[[#This Row],[SAPSA Number]],Table1[SAPSA number],Table1[Gender])</f>
        <v>Lady</v>
      </c>
      <c r="H46" s="19" t="e">
        <f>_xlfn.XLOOKUP(__xlnm._FilterDatabase_1571718[[#This Row],[SAPSA Number]],#REF!,#REF!)</f>
        <v>#REF!</v>
      </c>
      <c r="I46" s="19" t="s">
        <v>242</v>
      </c>
      <c r="J46" s="21">
        <f t="shared" si="3"/>
        <v>0</v>
      </c>
      <c r="K46" s="22">
        <f t="shared" si="4"/>
        <v>0</v>
      </c>
      <c r="L46" s="23">
        <v>0</v>
      </c>
      <c r="M46" s="24">
        <v>0</v>
      </c>
      <c r="N46" s="23">
        <v>0</v>
      </c>
      <c r="O46" s="24">
        <v>0</v>
      </c>
      <c r="P46" s="23">
        <v>0</v>
      </c>
      <c r="Q46" s="24">
        <v>0</v>
      </c>
      <c r="R46" s="23">
        <v>0</v>
      </c>
      <c r="S46" s="24">
        <v>0</v>
      </c>
      <c r="T46" s="23">
        <v>0</v>
      </c>
      <c r="U46" s="24">
        <v>0</v>
      </c>
      <c r="V46" s="23">
        <v>0</v>
      </c>
      <c r="W46" s="24">
        <v>0</v>
      </c>
    </row>
    <row r="47" spans="1:23" ht="14.4" customHeight="1" x14ac:dyDescent="0.3">
      <c r="A47" s="17">
        <f t="shared" si="5"/>
        <v>2</v>
      </c>
      <c r="B47" s="88">
        <v>2950</v>
      </c>
      <c r="C47" s="88">
        <f>_xlfn.XLOOKUP(__xlnm._FilterDatabase_1571718[[#This Row],[SAPSA Number]],Table1[SAPSA number],Table1[Paid up])</f>
        <v>0</v>
      </c>
      <c r="D47" s="39" t="str">
        <f>_xlfn.XLOOKUP(__xlnm._FilterDatabase_1571718[[#This Row],[SAPSA Number]],Table1[SAPSA number],Table1[Name])</f>
        <v>Renier Jansen</v>
      </c>
      <c r="E47" s="39" t="str">
        <f>_xlfn.XLOOKUP(__xlnm._FilterDatabase_1571718[[#This Row],[SAPSA Number]],Table1[SAPSA number],Table1[Surname])</f>
        <v>Reynders</v>
      </c>
      <c r="F47" s="20" t="str">
        <f>_xlfn.XLOOKUP(__xlnm._FilterDatabase_1571718[[#This Row],[SAPSA Number]],Table1[SAPSA number],Table1[Initials])</f>
        <v>RJ</v>
      </c>
      <c r="G47" s="17" t="str">
        <f ca="1">_xlfn.XLOOKUP(__xlnm._FilterDatabase_1571718[[#This Row],[SAPSA Number]],Table1[SAPSA number],Table1[Gender])</f>
        <v xml:space="preserve"> </v>
      </c>
      <c r="H47" s="19" t="e">
        <f>_xlfn.XLOOKUP(__xlnm._FilterDatabase_1571718[[#This Row],[SAPSA Number]],#REF!,#REF!)</f>
        <v>#REF!</v>
      </c>
      <c r="I47" s="19" t="s">
        <v>242</v>
      </c>
      <c r="J47" s="21">
        <f t="shared" si="3"/>
        <v>0</v>
      </c>
      <c r="K47" s="22">
        <f t="shared" si="4"/>
        <v>0</v>
      </c>
      <c r="L47" s="23">
        <v>0</v>
      </c>
      <c r="M47" s="24">
        <v>0</v>
      </c>
      <c r="N47" s="23">
        <v>0</v>
      </c>
      <c r="O47" s="24">
        <v>0</v>
      </c>
      <c r="P47" s="23">
        <v>0</v>
      </c>
      <c r="Q47" s="24">
        <v>0</v>
      </c>
      <c r="R47" s="23">
        <v>0</v>
      </c>
      <c r="S47" s="24">
        <v>0</v>
      </c>
      <c r="T47" s="23">
        <v>0</v>
      </c>
      <c r="U47" s="24">
        <v>0</v>
      </c>
      <c r="V47" s="23">
        <v>0</v>
      </c>
      <c r="W47" s="24">
        <v>0</v>
      </c>
    </row>
    <row r="48" spans="1:23" ht="14.4" customHeight="1" x14ac:dyDescent="0.3">
      <c r="A48" s="17">
        <f t="shared" si="5"/>
        <v>2</v>
      </c>
      <c r="B48" s="88">
        <v>1929</v>
      </c>
      <c r="C48" s="88">
        <f>_xlfn.XLOOKUP(__xlnm._FilterDatabase_1571718[[#This Row],[SAPSA Number]],Table1[SAPSA number],Table1[Paid up])</f>
        <v>0</v>
      </c>
      <c r="D48" s="39" t="str">
        <f>_xlfn.XLOOKUP(__xlnm._FilterDatabase_1571718[[#This Row],[SAPSA Number]],Table1[SAPSA number],Table1[Name])</f>
        <v>Chris</v>
      </c>
      <c r="E48" s="39" t="str">
        <f>_xlfn.XLOOKUP(__xlnm._FilterDatabase_1571718[[#This Row],[SAPSA Number]],Table1[SAPSA number],Table1[Surname])</f>
        <v>Ridout</v>
      </c>
      <c r="F48" s="20" t="str">
        <f>_xlfn.XLOOKUP(__xlnm._FilterDatabase_1571718[[#This Row],[SAPSA Number]],Table1[SAPSA number],Table1[Initials])</f>
        <v>CJ</v>
      </c>
      <c r="G48" s="17" t="str">
        <f ca="1">_xlfn.XLOOKUP(__xlnm._FilterDatabase_1571718[[#This Row],[SAPSA Number]],Table1[SAPSA number],Table1[Gender])</f>
        <v xml:space="preserve"> </v>
      </c>
      <c r="H48" s="19" t="e">
        <f>_xlfn.XLOOKUP(__xlnm._FilterDatabase_1571718[[#This Row],[SAPSA Number]],#REF!,#REF!)</f>
        <v>#REF!</v>
      </c>
      <c r="I48" s="19" t="s">
        <v>242</v>
      </c>
      <c r="J48" s="21">
        <f t="shared" si="3"/>
        <v>0</v>
      </c>
      <c r="K48" s="22">
        <f t="shared" si="4"/>
        <v>0</v>
      </c>
      <c r="L48" s="23">
        <v>0</v>
      </c>
      <c r="M48" s="24">
        <v>0</v>
      </c>
      <c r="N48" s="23">
        <v>0</v>
      </c>
      <c r="O48" s="24">
        <v>0</v>
      </c>
      <c r="P48" s="23">
        <v>0</v>
      </c>
      <c r="Q48" s="24">
        <v>0</v>
      </c>
      <c r="R48" s="23">
        <v>0</v>
      </c>
      <c r="S48" s="24">
        <v>0</v>
      </c>
      <c r="T48" s="23">
        <v>0</v>
      </c>
      <c r="U48" s="24">
        <v>0</v>
      </c>
      <c r="V48" s="23">
        <v>0</v>
      </c>
      <c r="W48" s="24">
        <v>0</v>
      </c>
    </row>
    <row r="49" spans="1:23" ht="14.4" customHeight="1" x14ac:dyDescent="0.3">
      <c r="A49" s="17">
        <f t="shared" si="5"/>
        <v>2</v>
      </c>
      <c r="B49" s="88">
        <v>3822</v>
      </c>
      <c r="C49" s="88" t="str">
        <f>_xlfn.XLOOKUP(__xlnm._FilterDatabase_1571718[[#This Row],[SAPSA Number]],Table1[SAPSA number],Table1[Paid up])</f>
        <v>Y</v>
      </c>
      <c r="D49" s="39" t="str">
        <f>_xlfn.XLOOKUP(__xlnm._FilterDatabase_1571718[[#This Row],[SAPSA Number]],Table1[SAPSA number],Table1[Name])</f>
        <v>Wayne Erald</v>
      </c>
      <c r="E49" s="39" t="str">
        <f>_xlfn.XLOOKUP(__xlnm._FilterDatabase_1571718[[#This Row],[SAPSA Number]],Table1[SAPSA number],Table1[Surname])</f>
        <v>Schmidt</v>
      </c>
      <c r="F49" s="20" t="str">
        <f>_xlfn.XLOOKUP(__xlnm._FilterDatabase_1571718[[#This Row],[SAPSA Number]],Table1[SAPSA number],Table1[Initials])</f>
        <v>WE</v>
      </c>
      <c r="G49" s="17" t="str">
        <f ca="1">_xlfn.XLOOKUP(__xlnm._FilterDatabase_1571718[[#This Row],[SAPSA Number]],Table1[SAPSA number],Table1[Gender])</f>
        <v>S</v>
      </c>
      <c r="H49" s="19" t="e">
        <f>_xlfn.XLOOKUP(__xlnm._FilterDatabase_1571718[[#This Row],[SAPSA Number]],#REF!,#REF!)</f>
        <v>#REF!</v>
      </c>
      <c r="I49" s="19" t="s">
        <v>242</v>
      </c>
      <c r="J49" s="21">
        <f t="shared" si="3"/>
        <v>0</v>
      </c>
      <c r="K49" s="22">
        <f t="shared" si="4"/>
        <v>0</v>
      </c>
      <c r="L49" s="23">
        <v>0</v>
      </c>
      <c r="M49" s="24">
        <v>0</v>
      </c>
      <c r="N49" s="23">
        <v>0</v>
      </c>
      <c r="O49" s="24">
        <v>0</v>
      </c>
      <c r="P49" s="23">
        <v>0</v>
      </c>
      <c r="Q49" s="24">
        <v>0</v>
      </c>
      <c r="R49" s="23">
        <v>0</v>
      </c>
      <c r="S49" s="24">
        <v>0</v>
      </c>
      <c r="T49" s="23">
        <v>0</v>
      </c>
      <c r="U49" s="24">
        <v>0</v>
      </c>
      <c r="V49" s="23">
        <v>0</v>
      </c>
      <c r="W49" s="24">
        <v>0</v>
      </c>
    </row>
    <row r="50" spans="1:23" ht="14.4" customHeight="1" x14ac:dyDescent="0.3">
      <c r="A50" s="17">
        <f t="shared" si="5"/>
        <v>2</v>
      </c>
      <c r="B50" s="88">
        <v>4966</v>
      </c>
      <c r="C50" s="88" t="str">
        <f>_xlfn.XLOOKUP(__xlnm._FilterDatabase_1571718[[#This Row],[SAPSA Number]],Table1[SAPSA number],Table1[Paid up])</f>
        <v>Y</v>
      </c>
      <c r="D50" s="39" t="str">
        <f>_xlfn.XLOOKUP(__xlnm._FilterDatabase_1571718[[#This Row],[SAPSA Number]],Table1[SAPSA number],Table1[Name])</f>
        <v>Costantinos</v>
      </c>
      <c r="E50" s="39" t="str">
        <f>_xlfn.XLOOKUP(__xlnm._FilterDatabase_1571718[[#This Row],[SAPSA Number]],Table1[SAPSA number],Table1[Surname])</f>
        <v>Seindis</v>
      </c>
      <c r="F50" s="20" t="str">
        <f>_xlfn.XLOOKUP(__xlnm._FilterDatabase_1571718[[#This Row],[SAPSA Number]],Table1[SAPSA number],Table1[Initials])</f>
        <v>C</v>
      </c>
      <c r="G50" s="17" t="str">
        <f ca="1">_xlfn.XLOOKUP(__xlnm._FilterDatabase_1571718[[#This Row],[SAPSA Number]],Table1[SAPSA number],Table1[Gender])</f>
        <v xml:space="preserve"> </v>
      </c>
      <c r="H50" s="19" t="e">
        <f>_xlfn.XLOOKUP(__xlnm._FilterDatabase_1571718[[#This Row],[SAPSA Number]],#REF!,#REF!)</f>
        <v>#REF!</v>
      </c>
      <c r="I50" s="19" t="s">
        <v>242</v>
      </c>
      <c r="J50" s="21">
        <f t="shared" si="3"/>
        <v>0</v>
      </c>
      <c r="K50" s="22">
        <f t="shared" si="4"/>
        <v>0</v>
      </c>
      <c r="L50" s="23">
        <v>0</v>
      </c>
      <c r="M50" s="24">
        <v>0</v>
      </c>
      <c r="N50" s="23">
        <v>0</v>
      </c>
      <c r="O50" s="24">
        <v>0</v>
      </c>
      <c r="P50" s="23">
        <v>0</v>
      </c>
      <c r="Q50" s="24">
        <v>0</v>
      </c>
      <c r="R50" s="23">
        <v>0</v>
      </c>
      <c r="S50" s="24">
        <v>0</v>
      </c>
      <c r="T50" s="23">
        <v>0</v>
      </c>
      <c r="U50" s="24">
        <v>0</v>
      </c>
      <c r="V50" s="23">
        <v>0</v>
      </c>
      <c r="W50" s="24">
        <v>0</v>
      </c>
    </row>
    <row r="51" spans="1:23" ht="14.4" customHeight="1" x14ac:dyDescent="0.3">
      <c r="A51" s="17">
        <f t="shared" si="5"/>
        <v>2</v>
      </c>
      <c r="B51" s="88">
        <v>572</v>
      </c>
      <c r="C51" s="88" t="str">
        <f>_xlfn.XLOOKUP(__xlnm._FilterDatabase_1571718[[#This Row],[SAPSA Number]],Table1[SAPSA number],Table1[Paid up])</f>
        <v>Y</v>
      </c>
      <c r="D51" s="39" t="str">
        <f>_xlfn.XLOOKUP(__xlnm._FilterDatabase_1571718[[#This Row],[SAPSA Number]],Table1[SAPSA number],Table1[Name])</f>
        <v>DJ</v>
      </c>
      <c r="E51" s="39" t="str">
        <f>_xlfn.XLOOKUP(__xlnm._FilterDatabase_1571718[[#This Row],[SAPSA Number]],Table1[SAPSA number],Table1[Surname])</f>
        <v>Smith</v>
      </c>
      <c r="F51" s="20" t="str">
        <f>_xlfn.XLOOKUP(__xlnm._FilterDatabase_1571718[[#This Row],[SAPSA Number]],Table1[SAPSA number],Table1[Initials])</f>
        <v>DJ</v>
      </c>
      <c r="G51" s="17" t="str">
        <f ca="1">_xlfn.XLOOKUP(__xlnm._FilterDatabase_1571718[[#This Row],[SAPSA Number]],Table1[SAPSA number],Table1[Gender])</f>
        <v>SS</v>
      </c>
      <c r="H51" s="19" t="e">
        <f>_xlfn.XLOOKUP(__xlnm._FilterDatabase_1571718[[#This Row],[SAPSA Number]],#REF!,#REF!)</f>
        <v>#REF!</v>
      </c>
      <c r="I51" s="19" t="s">
        <v>242</v>
      </c>
      <c r="J51" s="21">
        <f t="shared" si="3"/>
        <v>0</v>
      </c>
      <c r="K51" s="22">
        <f t="shared" si="4"/>
        <v>0</v>
      </c>
      <c r="L51" s="23">
        <v>0</v>
      </c>
      <c r="M51" s="24">
        <v>0</v>
      </c>
      <c r="N51" s="23">
        <v>0</v>
      </c>
      <c r="O51" s="24">
        <v>0</v>
      </c>
      <c r="P51" s="23">
        <v>0</v>
      </c>
      <c r="Q51" s="24">
        <v>0</v>
      </c>
      <c r="R51" s="23">
        <v>0</v>
      </c>
      <c r="S51" s="24">
        <v>0</v>
      </c>
      <c r="T51" s="23">
        <v>0</v>
      </c>
      <c r="U51" s="24">
        <v>0</v>
      </c>
      <c r="V51" s="23">
        <v>0</v>
      </c>
      <c r="W51" s="24">
        <v>0</v>
      </c>
    </row>
    <row r="52" spans="1:23" ht="14.4" customHeight="1" x14ac:dyDescent="0.3">
      <c r="A52" s="17">
        <f t="shared" si="5"/>
        <v>2</v>
      </c>
      <c r="B52" s="88">
        <v>1321</v>
      </c>
      <c r="C52" s="88">
        <f>_xlfn.XLOOKUP(__xlnm._FilterDatabase_1571718[[#This Row],[SAPSA Number]],Table1[SAPSA number],Table1[Paid up])</f>
        <v>0</v>
      </c>
      <c r="D52" s="39" t="str">
        <f>_xlfn.XLOOKUP(__xlnm._FilterDatabase_1571718[[#This Row],[SAPSA Number]],Table1[SAPSA number],Table1[Name])</f>
        <v>Neal Monisen</v>
      </c>
      <c r="E52" s="39" t="str">
        <f>_xlfn.XLOOKUP(__xlnm._FilterDatabase_1571718[[#This Row],[SAPSA Number]],Table1[SAPSA number],Table1[Surname])</f>
        <v>Sokay</v>
      </c>
      <c r="F52" s="20" t="str">
        <f>_xlfn.XLOOKUP(__xlnm._FilterDatabase_1571718[[#This Row],[SAPSA Number]],Table1[SAPSA number],Table1[Initials])</f>
        <v>NM</v>
      </c>
      <c r="G52" s="17" t="str">
        <f ca="1">_xlfn.XLOOKUP(__xlnm._FilterDatabase_1571718[[#This Row],[SAPSA Number]],Table1[SAPSA number],Table1[Gender])</f>
        <v>S</v>
      </c>
      <c r="H52" s="19" t="e">
        <f>_xlfn.XLOOKUP(__xlnm._FilterDatabase_1571718[[#This Row],[SAPSA Number]],#REF!,#REF!)</f>
        <v>#REF!</v>
      </c>
      <c r="I52" s="19" t="s">
        <v>242</v>
      </c>
      <c r="J52" s="21">
        <f t="shared" si="3"/>
        <v>0</v>
      </c>
      <c r="K52" s="22">
        <f t="shared" si="4"/>
        <v>0</v>
      </c>
      <c r="L52" s="23">
        <v>0</v>
      </c>
      <c r="M52" s="24">
        <v>0</v>
      </c>
      <c r="N52" s="23">
        <v>0</v>
      </c>
      <c r="O52" s="24">
        <v>0</v>
      </c>
      <c r="P52" s="23">
        <v>0</v>
      </c>
      <c r="Q52" s="24">
        <v>0</v>
      </c>
      <c r="R52" s="23">
        <v>0</v>
      </c>
      <c r="S52" s="24">
        <v>0</v>
      </c>
      <c r="T52" s="23">
        <v>0</v>
      </c>
      <c r="U52" s="24">
        <v>0</v>
      </c>
      <c r="V52" s="23">
        <v>0</v>
      </c>
      <c r="W52" s="24">
        <v>0</v>
      </c>
    </row>
    <row r="53" spans="1:23" ht="14.4" customHeight="1" x14ac:dyDescent="0.3">
      <c r="A53" s="17">
        <f t="shared" si="5"/>
        <v>2</v>
      </c>
      <c r="B53" s="88">
        <v>3832</v>
      </c>
      <c r="C53" s="88" t="str">
        <f>_xlfn.XLOOKUP(__xlnm._FilterDatabase_1571718[[#This Row],[SAPSA Number]],Table1[SAPSA number],Table1[Paid up])</f>
        <v>Y</v>
      </c>
      <c r="D53" s="39" t="str">
        <f>_xlfn.XLOOKUP(__xlnm._FilterDatabase_1571718[[#This Row],[SAPSA Number]],Table1[SAPSA number],Table1[Name])</f>
        <v>Dion Rowlands</v>
      </c>
      <c r="E53" s="39" t="str">
        <f>_xlfn.XLOOKUP(__xlnm._FilterDatabase_1571718[[#This Row],[SAPSA Number]],Table1[SAPSA number],Table1[Surname])</f>
        <v>Stead</v>
      </c>
      <c r="F53" s="20" t="str">
        <f>_xlfn.XLOOKUP(__xlnm._FilterDatabase_1571718[[#This Row],[SAPSA Number]],Table1[SAPSA number],Table1[Initials])</f>
        <v>DR</v>
      </c>
      <c r="G53" s="17" t="str">
        <f ca="1">_xlfn.XLOOKUP(__xlnm._FilterDatabase_1571718[[#This Row],[SAPSA Number]],Table1[SAPSA number],Table1[Gender])</f>
        <v>S</v>
      </c>
      <c r="H53" s="19" t="e">
        <f>_xlfn.XLOOKUP(__xlnm._FilterDatabase_1571718[[#This Row],[SAPSA Number]],#REF!,#REF!)</f>
        <v>#REF!</v>
      </c>
      <c r="I53" s="19" t="s">
        <v>242</v>
      </c>
      <c r="J53" s="21">
        <f t="shared" si="3"/>
        <v>0</v>
      </c>
      <c r="K53" s="22">
        <f t="shared" si="4"/>
        <v>0</v>
      </c>
      <c r="L53" s="23">
        <v>0</v>
      </c>
      <c r="M53" s="24">
        <v>0</v>
      </c>
      <c r="N53" s="23">
        <v>0</v>
      </c>
      <c r="O53" s="24">
        <v>0</v>
      </c>
      <c r="P53" s="23">
        <v>0</v>
      </c>
      <c r="Q53" s="24">
        <v>0</v>
      </c>
      <c r="R53" s="23">
        <v>0</v>
      </c>
      <c r="S53" s="24">
        <v>0</v>
      </c>
      <c r="T53" s="23">
        <v>0</v>
      </c>
      <c r="U53" s="24">
        <v>0</v>
      </c>
      <c r="V53" s="23">
        <v>0</v>
      </c>
      <c r="W53" s="24">
        <v>0</v>
      </c>
    </row>
    <row r="54" spans="1:23" ht="14.4" customHeight="1" x14ac:dyDescent="0.3">
      <c r="A54" s="17">
        <f t="shared" si="5"/>
        <v>2</v>
      </c>
      <c r="B54" s="88">
        <v>4858</v>
      </c>
      <c r="C54" s="88" t="str">
        <f>_xlfn.XLOOKUP(__xlnm._FilterDatabase_1571718[[#This Row],[SAPSA Number]],Table1[SAPSA number],Table1[Paid up])</f>
        <v>Y</v>
      </c>
      <c r="D54" s="39" t="str">
        <f>_xlfn.XLOOKUP(__xlnm._FilterDatabase_1571718[[#This Row],[SAPSA Number]],Table1[SAPSA number],Table1[Name])</f>
        <v>Jacques</v>
      </c>
      <c r="E54" s="39" t="str">
        <f>_xlfn.XLOOKUP(__xlnm._FilterDatabase_1571718[[#This Row],[SAPSA Number]],Table1[SAPSA number],Table1[Surname])</f>
        <v>Swanepoel</v>
      </c>
      <c r="F54" s="20" t="str">
        <f>_xlfn.XLOOKUP(__xlnm._FilterDatabase_1571718[[#This Row],[SAPSA Number]],Table1[SAPSA number],Table1[Initials])</f>
        <v>J</v>
      </c>
      <c r="G54" s="17" t="str">
        <f ca="1">_xlfn.XLOOKUP(__xlnm._FilterDatabase_1571718[[#This Row],[SAPSA Number]],Table1[SAPSA number],Table1[Gender])</f>
        <v xml:space="preserve"> </v>
      </c>
      <c r="H54" s="19" t="e">
        <f>_xlfn.XLOOKUP(__xlnm._FilterDatabase_1571718[[#This Row],[SAPSA Number]],#REF!,#REF!)</f>
        <v>#REF!</v>
      </c>
      <c r="I54" s="19" t="s">
        <v>242</v>
      </c>
      <c r="J54" s="21">
        <f t="shared" si="3"/>
        <v>0</v>
      </c>
      <c r="K54" s="22">
        <f t="shared" si="4"/>
        <v>0</v>
      </c>
      <c r="L54" s="23">
        <v>0</v>
      </c>
      <c r="M54" s="24">
        <v>0</v>
      </c>
      <c r="N54" s="23">
        <v>0</v>
      </c>
      <c r="O54" s="24">
        <v>0</v>
      </c>
      <c r="P54" s="23">
        <v>0</v>
      </c>
      <c r="Q54" s="24">
        <v>0</v>
      </c>
      <c r="R54" s="23">
        <v>0</v>
      </c>
      <c r="S54" s="24">
        <v>0</v>
      </c>
      <c r="T54" s="23">
        <v>0</v>
      </c>
      <c r="U54" s="24">
        <v>0</v>
      </c>
      <c r="V54" s="23">
        <v>0</v>
      </c>
      <c r="W54" s="24">
        <v>0</v>
      </c>
    </row>
    <row r="55" spans="1:23" ht="14.4" customHeight="1" x14ac:dyDescent="0.3">
      <c r="A55" s="17">
        <f t="shared" si="5"/>
        <v>2</v>
      </c>
      <c r="B55" s="88">
        <v>1113</v>
      </c>
      <c r="C55" s="88" t="str">
        <f>_xlfn.XLOOKUP(__xlnm._FilterDatabase_1571718[[#This Row],[SAPSA Number]],Table1[SAPSA number],Table1[Paid up])</f>
        <v>Y</v>
      </c>
      <c r="D55" s="39" t="str">
        <f>_xlfn.XLOOKUP(__xlnm._FilterDatabase_1571718[[#This Row],[SAPSA Number]],Table1[SAPSA number],Table1[Name])</f>
        <v>Frik</v>
      </c>
      <c r="E55" s="39" t="str">
        <f>_xlfn.XLOOKUP(__xlnm._FilterDatabase_1571718[[#This Row],[SAPSA Number]],Table1[SAPSA number],Table1[Surname])</f>
        <v>Truter</v>
      </c>
      <c r="F55" s="20" t="str">
        <f>_xlfn.XLOOKUP(__xlnm._FilterDatabase_1571718[[#This Row],[SAPSA Number]],Table1[SAPSA number],Table1[Initials])</f>
        <v>FC</v>
      </c>
      <c r="G55" s="17" t="str">
        <f ca="1">_xlfn.XLOOKUP(__xlnm._FilterDatabase_1571718[[#This Row],[SAPSA Number]],Table1[SAPSA number],Table1[Gender])</f>
        <v>SS</v>
      </c>
      <c r="H55" s="19" t="e">
        <f>_xlfn.XLOOKUP(__xlnm._FilterDatabase_1571718[[#This Row],[SAPSA Number]],#REF!,#REF!)</f>
        <v>#REF!</v>
      </c>
      <c r="I55" s="19" t="s">
        <v>242</v>
      </c>
      <c r="J55" s="21">
        <f t="shared" si="3"/>
        <v>0</v>
      </c>
      <c r="K55" s="22">
        <f t="shared" si="4"/>
        <v>0</v>
      </c>
      <c r="L55" s="23">
        <v>0</v>
      </c>
      <c r="M55" s="24">
        <v>0</v>
      </c>
      <c r="N55" s="23">
        <v>0</v>
      </c>
      <c r="O55" s="24">
        <v>0</v>
      </c>
      <c r="P55" s="23">
        <v>0</v>
      </c>
      <c r="Q55" s="24">
        <v>0</v>
      </c>
      <c r="R55" s="23">
        <v>0</v>
      </c>
      <c r="S55" s="24">
        <v>0</v>
      </c>
      <c r="T55" s="23">
        <v>0</v>
      </c>
      <c r="U55" s="24">
        <v>0</v>
      </c>
      <c r="V55" s="23">
        <v>0</v>
      </c>
      <c r="W55" s="24">
        <v>0</v>
      </c>
    </row>
    <row r="56" spans="1:23" ht="14.4" customHeight="1" x14ac:dyDescent="0.3">
      <c r="A56" s="17">
        <f t="shared" si="5"/>
        <v>2</v>
      </c>
      <c r="B56" s="88">
        <v>4672</v>
      </c>
      <c r="C56" s="88" t="str">
        <f>_xlfn.XLOOKUP(__xlnm._FilterDatabase_1571718[[#This Row],[SAPSA Number]],Table1[SAPSA number],Table1[Paid up])</f>
        <v>Y</v>
      </c>
      <c r="D56" s="39" t="str">
        <f>_xlfn.XLOOKUP(__xlnm._FilterDatabase_1571718[[#This Row],[SAPSA Number]],Table1[SAPSA number],Table1[Name])</f>
        <v>Frederick John</v>
      </c>
      <c r="E56" s="39" t="str">
        <f>_xlfn.XLOOKUP(__xlnm._FilterDatabase_1571718[[#This Row],[SAPSA Number]],Table1[SAPSA number],Table1[Surname])</f>
        <v>Turnbull</v>
      </c>
      <c r="F56" s="20" t="str">
        <f>_xlfn.XLOOKUP(__xlnm._FilterDatabase_1571718[[#This Row],[SAPSA Number]],Table1[SAPSA number],Table1[Initials])</f>
        <v>FJ</v>
      </c>
      <c r="G56" s="17" t="str">
        <f ca="1">_xlfn.XLOOKUP(__xlnm._FilterDatabase_1571718[[#This Row],[SAPSA Number]],Table1[SAPSA number],Table1[Gender])</f>
        <v>SS</v>
      </c>
      <c r="H56" s="19" t="e">
        <f>_xlfn.XLOOKUP(__xlnm._FilterDatabase_1571718[[#This Row],[SAPSA Number]],#REF!,#REF!)</f>
        <v>#REF!</v>
      </c>
      <c r="I56" s="19" t="s">
        <v>242</v>
      </c>
      <c r="J56" s="21">
        <f t="shared" si="3"/>
        <v>0</v>
      </c>
      <c r="K56" s="22">
        <f t="shared" si="4"/>
        <v>0</v>
      </c>
      <c r="L56" s="23">
        <v>0</v>
      </c>
      <c r="M56" s="24">
        <v>0</v>
      </c>
      <c r="N56" s="23">
        <v>0</v>
      </c>
      <c r="O56" s="24">
        <v>0</v>
      </c>
      <c r="P56" s="23">
        <v>0</v>
      </c>
      <c r="Q56" s="24">
        <v>0</v>
      </c>
      <c r="R56" s="23">
        <v>0</v>
      </c>
      <c r="S56" s="24">
        <v>0</v>
      </c>
      <c r="T56" s="23">
        <v>0</v>
      </c>
      <c r="U56" s="24">
        <v>0</v>
      </c>
      <c r="V56" s="23">
        <v>0</v>
      </c>
      <c r="W56" s="24">
        <v>0</v>
      </c>
    </row>
    <row r="57" spans="1:23" ht="14.4" customHeight="1" x14ac:dyDescent="0.3">
      <c r="A57" s="17">
        <f t="shared" si="5"/>
        <v>2</v>
      </c>
      <c r="B57" s="88">
        <v>1931</v>
      </c>
      <c r="C57" s="88">
        <f>_xlfn.XLOOKUP(__xlnm._FilterDatabase_1571718[[#This Row],[SAPSA Number]],Table1[SAPSA number],Table1[Paid up])</f>
        <v>0</v>
      </c>
      <c r="D57" s="39" t="str">
        <f>_xlfn.XLOOKUP(__xlnm._FilterDatabase_1571718[[#This Row],[SAPSA Number]],Table1[SAPSA number],Table1[Name])</f>
        <v>Sylvia</v>
      </c>
      <c r="E57" s="39" t="str">
        <f>_xlfn.XLOOKUP(__xlnm._FilterDatabase_1571718[[#This Row],[SAPSA Number]],Table1[SAPSA number],Table1[Surname])</f>
        <v>Van der Neut</v>
      </c>
      <c r="F57" s="20" t="str">
        <f>_xlfn.XLOOKUP(__xlnm._FilterDatabase_1571718[[#This Row],[SAPSA Number]],Table1[SAPSA number],Table1[Initials])</f>
        <v>S</v>
      </c>
      <c r="G57" s="17" t="str">
        <f>_xlfn.XLOOKUP(__xlnm._FilterDatabase_1571718[[#This Row],[SAPSA Number]],Table1[SAPSA number],Table1[Gender])</f>
        <v>Lady</v>
      </c>
      <c r="H57" s="19" t="e">
        <f>_xlfn.XLOOKUP(__xlnm._FilterDatabase_1571718[[#This Row],[SAPSA Number]],#REF!,#REF!)</f>
        <v>#REF!</v>
      </c>
      <c r="I57" s="19" t="s">
        <v>242</v>
      </c>
      <c r="J57" s="21">
        <f t="shared" si="3"/>
        <v>0</v>
      </c>
      <c r="K57" s="22">
        <f t="shared" si="4"/>
        <v>0</v>
      </c>
      <c r="L57" s="23">
        <v>0</v>
      </c>
      <c r="M57" s="24">
        <v>0</v>
      </c>
      <c r="N57" s="23">
        <v>0</v>
      </c>
      <c r="O57" s="24">
        <v>0</v>
      </c>
      <c r="P57" s="23">
        <v>0</v>
      </c>
      <c r="Q57" s="24">
        <v>0</v>
      </c>
      <c r="R57" s="23">
        <v>0</v>
      </c>
      <c r="S57" s="24">
        <v>0</v>
      </c>
      <c r="T57" s="23">
        <v>0</v>
      </c>
      <c r="U57" s="24">
        <v>0</v>
      </c>
      <c r="V57" s="23">
        <v>0</v>
      </c>
      <c r="W57" s="24">
        <v>0</v>
      </c>
    </row>
    <row r="58" spans="1:23" ht="14.4" customHeight="1" x14ac:dyDescent="0.3">
      <c r="A58" s="17">
        <f t="shared" si="5"/>
        <v>2</v>
      </c>
      <c r="B58" s="88">
        <v>5616</v>
      </c>
      <c r="C58" s="88">
        <f>_xlfn.XLOOKUP(__xlnm._FilterDatabase_1571718[[#This Row],[SAPSA Number]],Table1[SAPSA number],Table1[Paid up])</f>
        <v>0</v>
      </c>
      <c r="D58" s="39" t="str">
        <f>_xlfn.XLOOKUP(__xlnm._FilterDatabase_1571718[[#This Row],[SAPSA Number]],Table1[SAPSA number],Table1[Name])</f>
        <v>Cornelis Herman</v>
      </c>
      <c r="E58" s="39" t="str">
        <f>_xlfn.XLOOKUP(__xlnm._FilterDatabase_1571718[[#This Row],[SAPSA Number]],Table1[SAPSA number],Table1[Surname])</f>
        <v>van Driel</v>
      </c>
      <c r="F58" s="20" t="str">
        <f>_xlfn.XLOOKUP(__xlnm._FilterDatabase_1571718[[#This Row],[SAPSA Number]],Table1[SAPSA number],Table1[Initials])</f>
        <v>CH</v>
      </c>
      <c r="G58" s="17" t="str">
        <f ca="1">_xlfn.XLOOKUP(__xlnm._FilterDatabase_1571718[[#This Row],[SAPSA Number]],Table1[SAPSA number],Table1[Gender])</f>
        <v xml:space="preserve"> </v>
      </c>
      <c r="H58" s="19" t="e">
        <f>_xlfn.XLOOKUP(__xlnm._FilterDatabase_1571718[[#This Row],[SAPSA Number]],#REF!,#REF!)</f>
        <v>#REF!</v>
      </c>
      <c r="I58" s="19" t="s">
        <v>242</v>
      </c>
      <c r="J58" s="21">
        <f t="shared" si="3"/>
        <v>0</v>
      </c>
      <c r="K58" s="22">
        <f t="shared" si="4"/>
        <v>0</v>
      </c>
      <c r="L58" s="23">
        <v>0</v>
      </c>
      <c r="M58" s="24">
        <v>0</v>
      </c>
      <c r="N58" s="23">
        <v>0</v>
      </c>
      <c r="O58" s="24">
        <v>0</v>
      </c>
      <c r="P58" s="23">
        <v>0</v>
      </c>
      <c r="Q58" s="24">
        <v>0</v>
      </c>
      <c r="R58" s="23">
        <v>0</v>
      </c>
      <c r="S58" s="24">
        <v>0</v>
      </c>
      <c r="T58" s="23">
        <v>0</v>
      </c>
      <c r="U58" s="24">
        <v>0</v>
      </c>
      <c r="V58" s="23">
        <v>0</v>
      </c>
      <c r="W58" s="24">
        <v>0</v>
      </c>
    </row>
    <row r="59" spans="1:23" ht="14.4" customHeight="1" x14ac:dyDescent="0.3">
      <c r="A59" s="17">
        <f t="shared" si="5"/>
        <v>2</v>
      </c>
      <c r="B59" s="145">
        <v>6564</v>
      </c>
      <c r="C59" s="88" t="str">
        <f>_xlfn.XLOOKUP(__xlnm._FilterDatabase_1571718[[#This Row],[SAPSA Number]],Table1[SAPSA number],Table1[Paid up])</f>
        <v>Y</v>
      </c>
      <c r="D59" s="39" t="str">
        <f>_xlfn.XLOOKUP(__xlnm._FilterDatabase_1571718[[#This Row],[SAPSA Number]],Table1[SAPSA number],Table1[Name])</f>
        <v>Kwimton Schalk</v>
      </c>
      <c r="E59" s="39" t="str">
        <f>_xlfn.XLOOKUP(__xlnm._FilterDatabase_1571718[[#This Row],[SAPSA Number]],Table1[SAPSA number],Table1[Surname])</f>
        <v>van Jaarsveld</v>
      </c>
      <c r="F59" s="20" t="str">
        <f>_xlfn.XLOOKUP(__xlnm._FilterDatabase_1571718[[#This Row],[SAPSA Number]],Table1[SAPSA number],Table1[Initials])</f>
        <v>KS</v>
      </c>
      <c r="G59" s="17" t="str">
        <f ca="1">_xlfn.XLOOKUP(__xlnm._FilterDatabase_1571718[[#This Row],[SAPSA Number]],Table1[SAPSA number],Table1[Gender])</f>
        <v xml:space="preserve"> </v>
      </c>
      <c r="H59" s="19" t="e">
        <f>_xlfn.XLOOKUP(__xlnm._FilterDatabase_1571718[[#This Row],[SAPSA Number]],#REF!,#REF!)</f>
        <v>#REF!</v>
      </c>
      <c r="I59" s="19" t="s">
        <v>242</v>
      </c>
      <c r="J59" s="21">
        <f t="shared" si="3"/>
        <v>0</v>
      </c>
      <c r="K59" s="22">
        <f t="shared" si="4"/>
        <v>0</v>
      </c>
      <c r="L59" s="23">
        <v>0</v>
      </c>
      <c r="M59" s="24">
        <v>0</v>
      </c>
      <c r="N59" s="23">
        <v>0</v>
      </c>
      <c r="O59" s="24">
        <v>0</v>
      </c>
      <c r="P59" s="23">
        <v>0</v>
      </c>
      <c r="Q59" s="24">
        <v>0</v>
      </c>
      <c r="R59" s="23">
        <v>0</v>
      </c>
      <c r="S59" s="24">
        <v>0</v>
      </c>
      <c r="T59" s="23">
        <v>0</v>
      </c>
      <c r="U59" s="24">
        <v>0</v>
      </c>
      <c r="V59" s="23">
        <v>0</v>
      </c>
      <c r="W59" s="24">
        <v>0</v>
      </c>
    </row>
    <row r="60" spans="1:23" ht="14.4" customHeight="1" x14ac:dyDescent="0.3">
      <c r="A60" s="17">
        <f t="shared" si="5"/>
        <v>2</v>
      </c>
      <c r="B60" s="90">
        <v>5262</v>
      </c>
      <c r="C60" s="88" t="str">
        <f>_xlfn.XLOOKUP(__xlnm._FilterDatabase_1571718[[#This Row],[SAPSA Number]],Table1[SAPSA number],Table1[Paid up])</f>
        <v>Y</v>
      </c>
      <c r="D60" s="39" t="str">
        <f>_xlfn.XLOOKUP(__xlnm._FilterDatabase_1571718[[#This Row],[SAPSA Number]],Table1[SAPSA number],Table1[Name])</f>
        <v>Andre</v>
      </c>
      <c r="E60" s="39" t="str">
        <f>_xlfn.XLOOKUP(__xlnm._FilterDatabase_1571718[[#This Row],[SAPSA Number]],Table1[SAPSA number],Table1[Surname])</f>
        <v>van Rooyen</v>
      </c>
      <c r="F60" s="20" t="str">
        <f>_xlfn.XLOOKUP(__xlnm._FilterDatabase_1571718[[#This Row],[SAPSA Number]],Table1[SAPSA number],Table1[Initials])</f>
        <v>A</v>
      </c>
      <c r="G60" s="17" t="str">
        <f ca="1">_xlfn.XLOOKUP(__xlnm._FilterDatabase_1571718[[#This Row],[SAPSA Number]],Table1[SAPSA number],Table1[Gender])</f>
        <v xml:space="preserve"> </v>
      </c>
      <c r="H60" s="19" t="e">
        <f>_xlfn.XLOOKUP(__xlnm._FilterDatabase_1571718[[#This Row],[SAPSA Number]],#REF!,#REF!)</f>
        <v>#REF!</v>
      </c>
      <c r="I60" s="19" t="s">
        <v>242</v>
      </c>
      <c r="J60" s="21">
        <f t="shared" si="3"/>
        <v>0</v>
      </c>
      <c r="K60" s="22">
        <f t="shared" si="4"/>
        <v>0</v>
      </c>
      <c r="L60" s="23">
        <v>0</v>
      </c>
      <c r="M60" s="24">
        <v>0</v>
      </c>
      <c r="N60" s="23">
        <v>0</v>
      </c>
      <c r="O60" s="24">
        <v>0</v>
      </c>
      <c r="P60" s="23">
        <v>0</v>
      </c>
      <c r="Q60" s="24">
        <v>0</v>
      </c>
      <c r="R60" s="23">
        <v>0</v>
      </c>
      <c r="S60" s="24">
        <v>0</v>
      </c>
      <c r="T60" s="23">
        <v>0</v>
      </c>
      <c r="U60" s="24">
        <v>0</v>
      </c>
      <c r="V60" s="23">
        <v>0</v>
      </c>
      <c r="W60" s="24">
        <v>0</v>
      </c>
    </row>
    <row r="61" spans="1:23" ht="14.4" customHeight="1" x14ac:dyDescent="0.3">
      <c r="A61" s="17">
        <f t="shared" si="5"/>
        <v>2</v>
      </c>
      <c r="B61" s="88">
        <v>5971</v>
      </c>
      <c r="C61" s="88">
        <f>_xlfn.XLOOKUP(__xlnm._FilterDatabase_1571718[[#This Row],[SAPSA Number]],Table1[SAPSA number],Table1[Paid up])</f>
        <v>0</v>
      </c>
      <c r="D61" s="39" t="str">
        <f>_xlfn.XLOOKUP(__xlnm._FilterDatabase_1571718[[#This Row],[SAPSA Number]],Table1[SAPSA number],Table1[Name])</f>
        <v>Hendrik</v>
      </c>
      <c r="E61" s="39" t="str">
        <f>_xlfn.XLOOKUP(__xlnm._FilterDatabase_1571718[[#This Row],[SAPSA Number]],Table1[SAPSA number],Table1[Surname])</f>
        <v>van Rooyen</v>
      </c>
      <c r="F61" s="20" t="str">
        <f>_xlfn.XLOOKUP(__xlnm._FilterDatabase_1571718[[#This Row],[SAPSA Number]],Table1[SAPSA number],Table1[Initials])</f>
        <v>H</v>
      </c>
      <c r="G61" s="17" t="str">
        <f ca="1">_xlfn.XLOOKUP(__xlnm._FilterDatabase_1571718[[#This Row],[SAPSA Number]],Table1[SAPSA number],Table1[Gender])</f>
        <v>S</v>
      </c>
      <c r="H61" s="19" t="e">
        <f>_xlfn.XLOOKUP(__xlnm._FilterDatabase_1571718[[#This Row],[SAPSA Number]],#REF!,#REF!)</f>
        <v>#REF!</v>
      </c>
      <c r="I61" s="19" t="s">
        <v>242</v>
      </c>
      <c r="J61" s="21">
        <f t="shared" si="3"/>
        <v>0</v>
      </c>
      <c r="K61" s="22">
        <f t="shared" si="4"/>
        <v>0</v>
      </c>
      <c r="L61" s="23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  <c r="T61" s="23">
        <v>0</v>
      </c>
      <c r="U61" s="24">
        <v>0</v>
      </c>
      <c r="V61" s="23">
        <v>0</v>
      </c>
      <c r="W61" s="24">
        <v>0</v>
      </c>
    </row>
    <row r="62" spans="1:23" ht="14.4" customHeight="1" x14ac:dyDescent="0.3">
      <c r="A62" s="17">
        <f t="shared" si="5"/>
        <v>2</v>
      </c>
      <c r="B62" s="90">
        <v>2051</v>
      </c>
      <c r="C62" s="88" t="str">
        <f>_xlfn.XLOOKUP(__xlnm._FilterDatabase_1571718[[#This Row],[SAPSA Number]],Table1[SAPSA number],Table1[Paid up])</f>
        <v>Y</v>
      </c>
      <c r="D62" s="39" t="str">
        <f>_xlfn.XLOOKUP(__xlnm._FilterDatabase_1571718[[#This Row],[SAPSA Number]],Table1[SAPSA number],Table1[Name])</f>
        <v>Simon Adriaan</v>
      </c>
      <c r="E62" s="39" t="str">
        <f>_xlfn.XLOOKUP(__xlnm._FilterDatabase_1571718[[#This Row],[SAPSA Number]],Table1[SAPSA number],Table1[Surname])</f>
        <v>Vermooten</v>
      </c>
      <c r="F62" s="20" t="str">
        <f>_xlfn.XLOOKUP(__xlnm._FilterDatabase_1571718[[#This Row],[SAPSA Number]],Table1[SAPSA number],Table1[Initials])</f>
        <v>SA</v>
      </c>
      <c r="G62" s="17" t="str">
        <f ca="1">_xlfn.XLOOKUP(__xlnm._FilterDatabase_1571718[[#This Row],[SAPSA Number]],Table1[SAPSA number],Table1[Gender])</f>
        <v>GS</v>
      </c>
      <c r="H62" s="19" t="e">
        <f>_xlfn.XLOOKUP(__xlnm._FilterDatabase_1571718[[#This Row],[SAPSA Number]],#REF!,#REF!)</f>
        <v>#REF!</v>
      </c>
      <c r="I62" s="19" t="s">
        <v>242</v>
      </c>
      <c r="J62" s="21">
        <f t="shared" si="3"/>
        <v>0</v>
      </c>
      <c r="K62" s="22">
        <f t="shared" si="4"/>
        <v>0</v>
      </c>
      <c r="L62" s="23">
        <v>0</v>
      </c>
      <c r="M62" s="24">
        <v>0</v>
      </c>
      <c r="N62" s="23">
        <v>0</v>
      </c>
      <c r="O62" s="24">
        <v>0</v>
      </c>
      <c r="P62" s="23">
        <v>0</v>
      </c>
      <c r="Q62" s="24">
        <v>0</v>
      </c>
      <c r="R62" s="23">
        <v>0</v>
      </c>
      <c r="S62" s="24">
        <v>0</v>
      </c>
      <c r="T62" s="23">
        <v>0</v>
      </c>
      <c r="U62" s="24">
        <v>0</v>
      </c>
      <c r="V62" s="23">
        <v>0</v>
      </c>
      <c r="W62" s="24">
        <v>0</v>
      </c>
    </row>
    <row r="63" spans="1:23" ht="14.4" customHeight="1" x14ac:dyDescent="0.3">
      <c r="A63" s="17">
        <f t="shared" si="5"/>
        <v>2</v>
      </c>
      <c r="B63" s="90">
        <v>2089</v>
      </c>
      <c r="C63" s="88" t="str">
        <f>_xlfn.XLOOKUP(__xlnm._FilterDatabase_1571718[[#This Row],[SAPSA Number]],Table1[SAPSA number],Table1[Paid up])</f>
        <v>Y</v>
      </c>
      <c r="D63" s="39" t="str">
        <f>_xlfn.XLOOKUP(__xlnm._FilterDatabase_1571718[[#This Row],[SAPSA Number]],Table1[SAPSA number],Table1[Name])</f>
        <v>Doané</v>
      </c>
      <c r="E63" s="39" t="str">
        <f>_xlfn.XLOOKUP(__xlnm._FilterDatabase_1571718[[#This Row],[SAPSA Number]],Table1[SAPSA number],Table1[Surname])</f>
        <v>Vermooten</v>
      </c>
      <c r="F63" s="20" t="str">
        <f>_xlfn.XLOOKUP(__xlnm._FilterDatabase_1571718[[#This Row],[SAPSA Number]],Table1[SAPSA number],Table1[Initials])</f>
        <v>D</v>
      </c>
      <c r="G63" s="17" t="str">
        <f ca="1">_xlfn.XLOOKUP(__xlnm._FilterDatabase_1571718[[#This Row],[SAPSA Number]],Table1[SAPSA number],Table1[Gender])</f>
        <v xml:space="preserve"> </v>
      </c>
      <c r="H63" s="19" t="e">
        <f>_xlfn.XLOOKUP(__xlnm._FilterDatabase_1571718[[#This Row],[SAPSA Number]],#REF!,#REF!)</f>
        <v>#REF!</v>
      </c>
      <c r="I63" s="19" t="s">
        <v>242</v>
      </c>
      <c r="J63" s="21">
        <f t="shared" si="3"/>
        <v>0</v>
      </c>
      <c r="K63" s="22">
        <f t="shared" si="4"/>
        <v>0</v>
      </c>
      <c r="L63" s="23">
        <v>0</v>
      </c>
      <c r="M63" s="24">
        <v>0</v>
      </c>
      <c r="N63" s="23">
        <v>0</v>
      </c>
      <c r="O63" s="24">
        <v>0</v>
      </c>
      <c r="P63" s="23">
        <v>0</v>
      </c>
      <c r="Q63" s="24">
        <v>0</v>
      </c>
      <c r="R63" s="23">
        <v>0</v>
      </c>
      <c r="S63" s="24">
        <v>0</v>
      </c>
      <c r="T63" s="23">
        <v>0</v>
      </c>
      <c r="U63" s="24">
        <v>0</v>
      </c>
      <c r="V63" s="23">
        <v>0</v>
      </c>
      <c r="W63" s="24">
        <v>0</v>
      </c>
    </row>
    <row r="64" spans="1:23" x14ac:dyDescent="0.3">
      <c r="A64" s="17">
        <f t="shared" si="5"/>
        <v>2</v>
      </c>
      <c r="B64" s="92">
        <v>896</v>
      </c>
      <c r="C64" s="88" t="str">
        <f>_xlfn.XLOOKUP(__xlnm._FilterDatabase_1571718[[#This Row],[SAPSA Number]],Table1[SAPSA number],Table1[Paid up])</f>
        <v>Y</v>
      </c>
      <c r="D64" s="39" t="str">
        <f>_xlfn.XLOOKUP(__xlnm._FilterDatabase_1571718[[#This Row],[SAPSA Number]],Table1[SAPSA number],Table1[Name])</f>
        <v>Johannes Francois</v>
      </c>
      <c r="E64" s="39" t="str">
        <f>_xlfn.XLOOKUP(__xlnm._FilterDatabase_1571718[[#This Row],[SAPSA Number]],Table1[SAPSA number],Table1[Surname])</f>
        <v>Wheeler</v>
      </c>
      <c r="F64" s="20" t="str">
        <f>_xlfn.XLOOKUP(__xlnm._FilterDatabase_1571718[[#This Row],[SAPSA Number]],Table1[SAPSA number],Table1[Initials])</f>
        <v>JF</v>
      </c>
      <c r="G64" s="17" t="str">
        <f ca="1">_xlfn.XLOOKUP(__xlnm._FilterDatabase_1571718[[#This Row],[SAPSA Number]],Table1[SAPSA number],Table1[Gender])</f>
        <v xml:space="preserve"> </v>
      </c>
      <c r="H64" s="19" t="e">
        <f>_xlfn.XLOOKUP(__xlnm._FilterDatabase_1571718[[#This Row],[SAPSA Number]],#REF!,#REF!)</f>
        <v>#REF!</v>
      </c>
      <c r="I64" s="19" t="s">
        <v>242</v>
      </c>
      <c r="J64" s="21">
        <f t="shared" si="3"/>
        <v>0</v>
      </c>
      <c r="K64" s="22">
        <f t="shared" si="4"/>
        <v>0</v>
      </c>
      <c r="L64" s="23">
        <v>0</v>
      </c>
      <c r="M64" s="24">
        <v>0</v>
      </c>
      <c r="N64" s="23">
        <v>0</v>
      </c>
      <c r="O64" s="24">
        <v>0</v>
      </c>
      <c r="P64" s="23">
        <v>0</v>
      </c>
      <c r="Q64" s="24">
        <v>0</v>
      </c>
      <c r="R64" s="23">
        <v>0</v>
      </c>
      <c r="S64" s="24">
        <v>0</v>
      </c>
      <c r="T64" s="23">
        <v>0</v>
      </c>
      <c r="U64" s="24">
        <v>0</v>
      </c>
      <c r="V64" s="23">
        <v>0</v>
      </c>
      <c r="W64" s="24">
        <v>0</v>
      </c>
    </row>
    <row r="65" spans="1:23" x14ac:dyDescent="0.3">
      <c r="A65" s="17">
        <f t="shared" si="5"/>
        <v>2</v>
      </c>
      <c r="B65" s="90">
        <v>1716</v>
      </c>
      <c r="C65" s="88" t="str">
        <f>_xlfn.XLOOKUP(__xlnm._FilterDatabase_1571718[[#This Row],[SAPSA Number]],Table1[SAPSA number],Table1[Paid up])</f>
        <v>Y</v>
      </c>
      <c r="D65" s="39" t="str">
        <f>_xlfn.XLOOKUP(__xlnm._FilterDatabase_1571718[[#This Row],[SAPSA Number]],Table1[SAPSA number],Table1[Name])</f>
        <v>Albert</v>
      </c>
      <c r="E65" s="39" t="str">
        <f>_xlfn.XLOOKUP(__xlnm._FilterDatabase_1571718[[#This Row],[SAPSA Number]],Table1[SAPSA number],Table1[Surname])</f>
        <v>Wöcke</v>
      </c>
      <c r="F65" s="20" t="str">
        <f>_xlfn.XLOOKUP(__xlnm._FilterDatabase_1571718[[#This Row],[SAPSA Number]],Table1[SAPSA number],Table1[Initials])</f>
        <v>A</v>
      </c>
      <c r="G65" s="17" t="str">
        <f ca="1">_xlfn.XLOOKUP(__xlnm._FilterDatabase_1571718[[#This Row],[SAPSA Number]],Table1[SAPSA number],Table1[Gender])</f>
        <v>S</v>
      </c>
      <c r="H65" s="19" t="e">
        <f>_xlfn.XLOOKUP(__xlnm._FilterDatabase_1571718[[#This Row],[SAPSA Number]],#REF!,#REF!)</f>
        <v>#REF!</v>
      </c>
      <c r="I65" s="19" t="s">
        <v>242</v>
      </c>
      <c r="J65" s="21">
        <f t="shared" si="3"/>
        <v>0</v>
      </c>
      <c r="K65" s="22">
        <f t="shared" si="4"/>
        <v>0</v>
      </c>
      <c r="L65" s="23">
        <v>0</v>
      </c>
      <c r="M65" s="24">
        <v>0</v>
      </c>
      <c r="N65" s="23">
        <v>0</v>
      </c>
      <c r="O65" s="24">
        <v>0</v>
      </c>
      <c r="P65" s="23">
        <v>0</v>
      </c>
      <c r="Q65" s="24">
        <v>0</v>
      </c>
      <c r="R65" s="23">
        <v>0</v>
      </c>
      <c r="S65" s="24">
        <v>0</v>
      </c>
      <c r="T65" s="23">
        <v>0</v>
      </c>
      <c r="U65" s="24">
        <v>0</v>
      </c>
      <c r="V65" s="23">
        <v>0</v>
      </c>
      <c r="W65" s="24">
        <v>0</v>
      </c>
    </row>
    <row r="66" spans="1:23" x14ac:dyDescent="0.3">
      <c r="A66" s="17">
        <f t="shared" si="5"/>
        <v>2</v>
      </c>
      <c r="B66" s="90">
        <v>206</v>
      </c>
      <c r="C66" s="88">
        <f>_xlfn.XLOOKUP(__xlnm._FilterDatabase_1571718[[#This Row],[SAPSA Number]],Table1[SAPSA number],Table1[Paid up])</f>
        <v>0</v>
      </c>
      <c r="D66" s="39" t="str">
        <f>_xlfn.XLOOKUP(__xlnm._FilterDatabase_1571718[[#This Row],[SAPSA Number]],Table1[SAPSA number],Table1[Name])</f>
        <v>Pierre Dewald</v>
      </c>
      <c r="E66" s="39" t="str">
        <f>_xlfn.XLOOKUP(__xlnm._FilterDatabase_1571718[[#This Row],[SAPSA Number]],Table1[SAPSA number],Table1[Surname])</f>
        <v>Wrogemann</v>
      </c>
      <c r="F66" s="20" t="str">
        <f>_xlfn.XLOOKUP(__xlnm._FilterDatabase_1571718[[#This Row],[SAPSA Number]],Table1[SAPSA number],Table1[Initials])</f>
        <v>PD</v>
      </c>
      <c r="G66" s="17" t="str">
        <f ca="1">_xlfn.XLOOKUP(__xlnm._FilterDatabase_1571718[[#This Row],[SAPSA Number]],Table1[SAPSA number],Table1[Gender])</f>
        <v>S</v>
      </c>
      <c r="H66" s="19" t="e">
        <f>_xlfn.XLOOKUP(__xlnm._FilterDatabase_1571718[[#This Row],[SAPSA Number]],#REF!,#REF!)</f>
        <v>#REF!</v>
      </c>
      <c r="I66" s="19" t="s">
        <v>242</v>
      </c>
      <c r="J66" s="21">
        <f t="shared" si="3"/>
        <v>0</v>
      </c>
      <c r="K66" s="22">
        <f t="shared" ref="K66" si="6">(LARGE(L66:U66,1)+LARGE(L66:U66,2)+LARGE(L66:U66,3)+LARGE(L66:U66,4)+LARGE(L66:U66,5))/5</f>
        <v>0</v>
      </c>
      <c r="L66" s="23">
        <v>0</v>
      </c>
      <c r="M66" s="24">
        <v>0</v>
      </c>
      <c r="N66" s="23">
        <v>0</v>
      </c>
      <c r="O66" s="24">
        <v>0</v>
      </c>
      <c r="P66" s="23">
        <v>0</v>
      </c>
      <c r="Q66" s="24">
        <v>0</v>
      </c>
      <c r="R66" s="23">
        <v>0</v>
      </c>
      <c r="S66" s="24">
        <v>0</v>
      </c>
      <c r="T66" s="23">
        <v>0</v>
      </c>
      <c r="U66" s="24">
        <v>0</v>
      </c>
      <c r="V66" s="23">
        <v>0</v>
      </c>
      <c r="W66" s="24">
        <v>0</v>
      </c>
    </row>
    <row r="67" spans="1:23" x14ac:dyDescent="0.3">
      <c r="A67" s="17">
        <f t="shared" si="5"/>
        <v>2</v>
      </c>
      <c r="B67" s="90">
        <v>3810</v>
      </c>
      <c r="C67" s="88"/>
      <c r="D67" s="39" t="str">
        <f>_xlfn.XLOOKUP(__xlnm._FilterDatabase_1571718[[#This Row],[SAPSA Number]],Table1[SAPSA number],Table1[Name])</f>
        <v>Roelof</v>
      </c>
      <c r="E67" s="39" t="str">
        <f>_xlfn.XLOOKUP(__xlnm._FilterDatabase_1571718[[#This Row],[SAPSA Number]],Table1[SAPSA number],Table1[Surname])</f>
        <v>Liebenberg</v>
      </c>
      <c r="F67" s="20" t="str">
        <f>_xlfn.XLOOKUP(__xlnm._FilterDatabase_1571718[[#This Row],[SAPSA Number]],Table1[SAPSA number],Table1[Initials])</f>
        <v>R</v>
      </c>
      <c r="G67" s="17" t="str">
        <f ca="1">_xlfn.XLOOKUP(__xlnm._FilterDatabase_1571718[[#This Row],[SAPSA Number]],Table1[SAPSA number],Table1[Gender])</f>
        <v>S</v>
      </c>
      <c r="H67" s="19" t="e">
        <f>_xlfn.XLOOKUP(__xlnm._FilterDatabase_1571718[[#This Row],[SAPSA Number]],#REF!,#REF!)</f>
        <v>#REF!</v>
      </c>
      <c r="I67" s="19" t="s">
        <v>242</v>
      </c>
      <c r="J67" s="21">
        <f t="shared" ref="J67" si="7">(IF(L67&gt;0,1,0)+(IF(M67&gt;0,1,0))+(IF(N67&gt;0,1,0))+(IF(O67&gt;0,1,0))+(IF(P67&gt;0,1,0))+(IF(Q67&gt;0,1,0))+(IF(R67&gt;0,1,0))+(IF(S67&gt;0,1,0))+(IF(T67&gt;0,1,0))+(IF(U67&gt;0,1,0))+(IF(V67&gt;0,1,0))+(IF(W67&gt;0,1,0)))</f>
        <v>0</v>
      </c>
      <c r="K67" s="22">
        <f t="shared" ref="K67" si="8">(LARGE(L67:U67,1)+LARGE(L67:U67,2)+LARGE(L67:U67,3)+LARGE(L67:U67,4)+LARGE(L67:U67,5))/5</f>
        <v>0</v>
      </c>
      <c r="L67" s="23">
        <v>0</v>
      </c>
      <c r="M67" s="24">
        <v>0</v>
      </c>
      <c r="N67" s="23">
        <v>0</v>
      </c>
      <c r="O67" s="24">
        <v>0</v>
      </c>
      <c r="P67" s="23">
        <v>0</v>
      </c>
      <c r="Q67" s="24">
        <v>0</v>
      </c>
      <c r="R67" s="23">
        <v>0</v>
      </c>
      <c r="S67" s="24">
        <v>0</v>
      </c>
      <c r="T67" s="23">
        <v>0</v>
      </c>
      <c r="U67" s="24">
        <v>0</v>
      </c>
      <c r="V67" s="23">
        <v>0</v>
      </c>
      <c r="W67" s="24">
        <v>0</v>
      </c>
    </row>
    <row r="68" spans="1:23" x14ac:dyDescent="0.3">
      <c r="A68" s="17">
        <f t="shared" si="5"/>
        <v>2</v>
      </c>
      <c r="B68" s="90">
        <v>401</v>
      </c>
      <c r="C68" s="88"/>
      <c r="D68" s="39" t="str">
        <f>_xlfn.XLOOKUP(__xlnm._FilterDatabase_1571718[[#This Row],[SAPSA Number]],Table1[SAPSA number],Table1[Name])</f>
        <v>Sebella</v>
      </c>
      <c r="E68" s="39" t="str">
        <f>_xlfn.XLOOKUP(__xlnm._FilterDatabase_1571718[[#This Row],[SAPSA Number]],Table1[SAPSA number],Table1[Surname])</f>
        <v>O'Donovan</v>
      </c>
      <c r="F68" s="20" t="str">
        <f>_xlfn.XLOOKUP(__xlnm._FilterDatabase_1571718[[#This Row],[SAPSA Number]],Table1[SAPSA number],Table1[Initials])</f>
        <v>S</v>
      </c>
      <c r="G68" s="17" t="str">
        <f>_xlfn.XLOOKUP(__xlnm._FilterDatabase_1571718[[#This Row],[SAPSA Number]],Table1[SAPSA number],Table1[Gender])</f>
        <v>Lady</v>
      </c>
      <c r="H68" s="19" t="e">
        <f>_xlfn.XLOOKUP(__xlnm._FilterDatabase_1571718[[#This Row],[SAPSA Number]],#REF!,#REF!)</f>
        <v>#REF!</v>
      </c>
      <c r="I68" s="19" t="s">
        <v>242</v>
      </c>
      <c r="J68" s="21">
        <f t="shared" ref="J68:J69" si="9">(IF(L68&gt;0,1,0)+(IF(M68&gt;0,1,0))+(IF(N68&gt;0,1,0))+(IF(O68&gt;0,1,0))+(IF(P68&gt;0,1,0))+(IF(Q68&gt;0,1,0))+(IF(R68&gt;0,1,0))+(IF(S68&gt;0,1,0))+(IF(T68&gt;0,1,0))+(IF(U68&gt;0,1,0))+(IF(V68&gt;0,1,0))+(IF(W68&gt;0,1,0)))</f>
        <v>0</v>
      </c>
      <c r="K68" s="22">
        <f t="shared" ref="K68:K69" si="10">(LARGE(L68:U68,1)+LARGE(L68:U68,2)+LARGE(L68:U68,3)+LARGE(L68:U68,4)+LARGE(L68:U68,5))/5</f>
        <v>0</v>
      </c>
      <c r="L68" s="23">
        <v>0</v>
      </c>
      <c r="M68" s="24">
        <v>0</v>
      </c>
      <c r="N68" s="23">
        <v>0</v>
      </c>
      <c r="O68" s="24">
        <v>0</v>
      </c>
      <c r="P68" s="23">
        <v>0</v>
      </c>
      <c r="Q68" s="24">
        <v>0</v>
      </c>
      <c r="R68" s="23">
        <v>0</v>
      </c>
      <c r="S68" s="24">
        <v>0</v>
      </c>
      <c r="T68" s="23">
        <v>0</v>
      </c>
      <c r="U68" s="24">
        <v>0</v>
      </c>
      <c r="V68" s="23">
        <v>0</v>
      </c>
      <c r="W68" s="24">
        <v>0</v>
      </c>
    </row>
    <row r="69" spans="1:23" x14ac:dyDescent="0.3">
      <c r="A69" s="17">
        <f t="shared" si="5"/>
        <v>2</v>
      </c>
      <c r="B69" s="88">
        <v>1547</v>
      </c>
      <c r="C69" s="88"/>
      <c r="D69" s="39" t="str">
        <f>_xlfn.XLOOKUP(__xlnm._FilterDatabase_1571718[[#This Row],[SAPSA Number]],Table1[SAPSA number],Table1[Name])</f>
        <v>Marius Frans</v>
      </c>
      <c r="E69" s="39" t="str">
        <f>_xlfn.XLOOKUP(__xlnm._FilterDatabase_1571718[[#This Row],[SAPSA Number]],Table1[SAPSA number],Table1[Surname])</f>
        <v>van Biljon</v>
      </c>
      <c r="F69" s="20" t="str">
        <f>_xlfn.XLOOKUP(__xlnm._FilterDatabase_1571718[[#This Row],[SAPSA Number]],Table1[SAPSA number],Table1[Initials])</f>
        <v>MF</v>
      </c>
      <c r="G69" s="17" t="str">
        <f ca="1">_xlfn.XLOOKUP(__xlnm._FilterDatabase_1571718[[#This Row],[SAPSA Number]],Table1[SAPSA number],Table1[Gender])</f>
        <v>S</v>
      </c>
      <c r="H69" s="19" t="e">
        <f>_xlfn.XLOOKUP(__xlnm._FilterDatabase_1571718[[#This Row],[SAPSA Number]],#REF!,#REF!)</f>
        <v>#REF!</v>
      </c>
      <c r="I69" s="19" t="s">
        <v>242</v>
      </c>
      <c r="J69" s="21">
        <f t="shared" si="9"/>
        <v>0</v>
      </c>
      <c r="K69" s="22">
        <f t="shared" si="10"/>
        <v>0</v>
      </c>
      <c r="L69" s="23">
        <v>0</v>
      </c>
      <c r="M69" s="24">
        <v>0</v>
      </c>
      <c r="N69" s="23">
        <v>0</v>
      </c>
      <c r="O69" s="24">
        <v>0</v>
      </c>
      <c r="P69" s="23">
        <v>0</v>
      </c>
      <c r="Q69" s="24">
        <v>0</v>
      </c>
      <c r="R69" s="23">
        <v>0</v>
      </c>
      <c r="S69" s="24">
        <v>0</v>
      </c>
      <c r="T69" s="23">
        <v>0</v>
      </c>
      <c r="U69" s="24">
        <v>0</v>
      </c>
      <c r="V69" s="23">
        <v>0</v>
      </c>
      <c r="W69" s="24">
        <v>0</v>
      </c>
    </row>
    <row r="70" spans="1:23" x14ac:dyDescent="0.3">
      <c r="A70" s="17">
        <f t="shared" ref="A70" si="11">RANK(K70,K$2:K$141,0)</f>
        <v>2</v>
      </c>
      <c r="B70" s="88">
        <v>3837</v>
      </c>
      <c r="C70" s="88"/>
      <c r="D70" s="39" t="str">
        <f>_xlfn.XLOOKUP(__xlnm._FilterDatabase_1571718[[#This Row],[SAPSA Number]],Table1[SAPSA number],Table1[Name])</f>
        <v>Daneel</v>
      </c>
      <c r="E70" s="39" t="str">
        <f>_xlfn.XLOOKUP(__xlnm._FilterDatabase_1571718[[#This Row],[SAPSA Number]],Table1[SAPSA number],Table1[Surname])</f>
        <v>van eck</v>
      </c>
      <c r="F70" s="20" t="str">
        <f>_xlfn.XLOOKUP(__xlnm._FilterDatabase_1571718[[#This Row],[SAPSA Number]],Table1[SAPSA number],Table1[Initials])</f>
        <v>DJ</v>
      </c>
      <c r="G70" s="17" t="str">
        <f ca="1">_xlfn.XLOOKUP(__xlnm._FilterDatabase_1571718[[#This Row],[SAPSA Number]],Table1[SAPSA number],Table1[Gender])</f>
        <v xml:space="preserve"> </v>
      </c>
      <c r="H70" s="19" t="e">
        <f>_xlfn.XLOOKUP(__xlnm._FilterDatabase_1571718[[#This Row],[SAPSA Number]],#REF!,#REF!)</f>
        <v>#REF!</v>
      </c>
      <c r="I70" s="19" t="s">
        <v>242</v>
      </c>
      <c r="J70" s="21">
        <f t="shared" ref="J70" si="12">(IF(L70&gt;0,1,0)+(IF(M70&gt;0,1,0))+(IF(N70&gt;0,1,0))+(IF(O70&gt;0,1,0))+(IF(P70&gt;0,1,0))+(IF(Q70&gt;0,1,0))+(IF(R70&gt;0,1,0))+(IF(S70&gt;0,1,0))+(IF(T70&gt;0,1,0))+(IF(U70&gt;0,1,0))+(IF(V70&gt;0,1,0))+(IF(W70&gt;0,1,0)))</f>
        <v>0</v>
      </c>
      <c r="K70" s="22">
        <f t="shared" ref="K70" si="13">(LARGE(L70:U70,1)+LARGE(L70:U70,2)+LARGE(L70:U70,3)+LARGE(L70:U70,4)+LARGE(L70:U70,5))/5</f>
        <v>0</v>
      </c>
      <c r="L70" s="23">
        <v>0</v>
      </c>
      <c r="M70" s="24">
        <v>0</v>
      </c>
      <c r="N70" s="23">
        <v>0</v>
      </c>
      <c r="O70" s="24">
        <v>0</v>
      </c>
      <c r="P70" s="23">
        <v>0</v>
      </c>
      <c r="Q70" s="24">
        <v>0</v>
      </c>
      <c r="R70" s="23">
        <v>0</v>
      </c>
      <c r="S70" s="24">
        <v>0</v>
      </c>
      <c r="T70" s="23">
        <v>0</v>
      </c>
      <c r="U70" s="24">
        <v>0</v>
      </c>
      <c r="V70" s="23">
        <v>0</v>
      </c>
      <c r="W70" s="24">
        <v>0</v>
      </c>
    </row>
    <row r="71" spans="1:23" x14ac:dyDescent="0.3">
      <c r="A71" s="17"/>
      <c r="B71" s="98"/>
      <c r="C71" s="88"/>
      <c r="D71" s="39"/>
      <c r="E71" s="39"/>
      <c r="F71" s="20"/>
      <c r="G71" s="17"/>
      <c r="H71" s="19"/>
      <c r="I71" s="19"/>
      <c r="J71" s="21"/>
      <c r="K71" s="22"/>
      <c r="L71" s="23"/>
      <c r="M71" s="24"/>
      <c r="N71" s="23"/>
      <c r="O71" s="24"/>
      <c r="P71" s="23"/>
      <c r="Q71" s="24"/>
      <c r="R71" s="23"/>
      <c r="S71" s="24"/>
      <c r="T71" s="23"/>
      <c r="U71" s="24"/>
      <c r="V71" s="23"/>
      <c r="W71" s="24"/>
    </row>
    <row r="72" spans="1:23" x14ac:dyDescent="0.3">
      <c r="A72" s="17"/>
      <c r="B72" s="92"/>
      <c r="C72" s="88"/>
      <c r="D72" s="39"/>
      <c r="E72" s="39"/>
      <c r="F72" s="20"/>
      <c r="G72" s="17"/>
      <c r="H72" s="19"/>
      <c r="I72" s="19"/>
      <c r="J72" s="21"/>
      <c r="K72" s="22"/>
      <c r="L72" s="23"/>
      <c r="M72" s="24"/>
      <c r="N72" s="23"/>
      <c r="O72" s="24"/>
      <c r="P72" s="23"/>
      <c r="Q72" s="24"/>
      <c r="R72" s="23"/>
      <c r="S72" s="24"/>
      <c r="T72" s="23"/>
      <c r="U72" s="24"/>
      <c r="V72" s="23"/>
      <c r="W72" s="24"/>
    </row>
    <row r="73" spans="1:23" x14ac:dyDescent="0.3">
      <c r="A73" s="31"/>
      <c r="B73" s="93"/>
      <c r="C73" s="88"/>
      <c r="D73" s="39"/>
      <c r="E73" s="39"/>
      <c r="F73" s="20"/>
      <c r="G73" s="17"/>
      <c r="H73" s="19"/>
      <c r="I73" s="19"/>
      <c r="J73" s="34"/>
      <c r="K73" s="22"/>
      <c r="L73" s="23"/>
      <c r="M73" s="24"/>
      <c r="N73" s="23"/>
      <c r="O73" s="24"/>
      <c r="P73" s="23"/>
      <c r="Q73" s="24"/>
      <c r="R73" s="23"/>
      <c r="S73" s="24"/>
      <c r="T73" s="23"/>
      <c r="U73" s="24"/>
      <c r="V73" s="23"/>
      <c r="W73" s="24"/>
    </row>
    <row r="74" spans="1:23" x14ac:dyDescent="0.3">
      <c r="A74" s="31"/>
      <c r="B74" s="96"/>
      <c r="C74" s="88"/>
      <c r="D74" s="39"/>
      <c r="E74" s="39"/>
      <c r="F74" s="20"/>
      <c r="G74" s="17"/>
      <c r="H74" s="19"/>
      <c r="I74" s="19"/>
      <c r="J74" s="34"/>
      <c r="K74" s="22"/>
      <c r="L74" s="23"/>
      <c r="M74" s="24"/>
      <c r="N74" s="23"/>
      <c r="O74" s="24"/>
      <c r="P74" s="23"/>
      <c r="Q74" s="24"/>
      <c r="R74" s="23"/>
      <c r="S74" s="24"/>
      <c r="T74" s="23"/>
      <c r="U74" s="24"/>
      <c r="V74" s="23"/>
      <c r="W74" s="24"/>
    </row>
    <row r="75" spans="1:23" x14ac:dyDescent="0.3">
      <c r="A75" s="31"/>
      <c r="B75" s="94"/>
      <c r="C75" s="88"/>
      <c r="D75" s="39"/>
      <c r="E75" s="39"/>
      <c r="F75" s="20"/>
      <c r="G75" s="17"/>
      <c r="H75" s="19"/>
      <c r="I75" s="19"/>
      <c r="J75" s="34"/>
      <c r="K75" s="22"/>
      <c r="L75" s="23"/>
      <c r="M75" s="24"/>
      <c r="N75" s="23"/>
      <c r="O75" s="24"/>
      <c r="P75" s="23"/>
      <c r="Q75" s="24"/>
      <c r="R75" s="23"/>
      <c r="S75" s="24"/>
      <c r="T75" s="23"/>
      <c r="U75" s="24"/>
      <c r="V75" s="23"/>
      <c r="W75" s="24"/>
    </row>
    <row r="76" spans="1:23" x14ac:dyDescent="0.3">
      <c r="A76" s="31"/>
      <c r="B76" s="94"/>
      <c r="C76" s="88"/>
      <c r="D76" s="39"/>
      <c r="E76" s="39"/>
      <c r="F76" s="20"/>
      <c r="G76" s="17"/>
      <c r="H76" s="19"/>
      <c r="I76" s="19"/>
      <c r="J76" s="34"/>
      <c r="K76" s="22"/>
      <c r="L76" s="23"/>
      <c r="M76" s="24"/>
      <c r="N76" s="23"/>
      <c r="O76" s="24"/>
      <c r="P76" s="23"/>
      <c r="Q76" s="24"/>
      <c r="R76" s="23"/>
      <c r="S76" s="24"/>
      <c r="T76" s="23"/>
      <c r="U76" s="24"/>
      <c r="V76" s="23"/>
      <c r="W76" s="24"/>
    </row>
    <row r="77" spans="1:23" x14ac:dyDescent="0.3">
      <c r="A77" s="31"/>
      <c r="B77" s="89"/>
      <c r="C77" s="88"/>
      <c r="D77" s="39"/>
      <c r="E77" s="39"/>
      <c r="F77" s="20"/>
      <c r="G77" s="17"/>
      <c r="H77" s="19"/>
      <c r="I77" s="19"/>
      <c r="J77" s="34"/>
      <c r="K77" s="22"/>
      <c r="L77" s="23"/>
      <c r="M77" s="24"/>
      <c r="N77" s="23"/>
      <c r="O77" s="24"/>
      <c r="P77" s="23"/>
      <c r="Q77" s="24"/>
      <c r="R77" s="23"/>
      <c r="S77" s="24"/>
      <c r="T77" s="23"/>
      <c r="U77" s="24"/>
      <c r="V77" s="23"/>
      <c r="W77" s="24"/>
    </row>
    <row r="78" spans="1:23" x14ac:dyDescent="0.3">
      <c r="A78" s="31"/>
      <c r="B78" s="94"/>
      <c r="C78" s="88"/>
      <c r="D78" s="39"/>
      <c r="E78" s="39"/>
      <c r="F78" s="20"/>
      <c r="G78" s="17"/>
      <c r="H78" s="19"/>
      <c r="I78" s="19"/>
      <c r="J78" s="34"/>
      <c r="K78" s="22"/>
      <c r="L78" s="23"/>
      <c r="M78" s="24"/>
      <c r="N78" s="23"/>
      <c r="O78" s="24"/>
      <c r="P78" s="23"/>
      <c r="Q78" s="24"/>
      <c r="R78" s="23"/>
      <c r="S78" s="24"/>
      <c r="T78" s="23"/>
      <c r="U78" s="24"/>
      <c r="V78" s="23"/>
      <c r="W78" s="24"/>
    </row>
    <row r="79" spans="1:23" x14ac:dyDescent="0.3">
      <c r="A79" s="35"/>
      <c r="B79" s="94"/>
      <c r="C79" s="88"/>
      <c r="D79" s="39"/>
      <c r="E79" s="39"/>
      <c r="F79" s="20"/>
      <c r="G79" s="17"/>
      <c r="H79" s="19"/>
      <c r="I79" s="19"/>
      <c r="J79" s="34"/>
      <c r="K79" s="22"/>
      <c r="L79" s="23"/>
      <c r="M79" s="24"/>
      <c r="N79" s="23"/>
      <c r="O79" s="24"/>
      <c r="P79" s="23"/>
      <c r="Q79" s="24"/>
      <c r="R79" s="23"/>
      <c r="S79" s="24"/>
      <c r="T79" s="23"/>
      <c r="U79" s="24"/>
      <c r="V79" s="23"/>
      <c r="W79" s="24"/>
    </row>
    <row r="80" spans="1:23" x14ac:dyDescent="0.3">
      <c r="A80" s="35"/>
      <c r="B80" s="95"/>
      <c r="C80" s="88"/>
      <c r="D80" s="39"/>
      <c r="E80" s="39"/>
      <c r="F80" s="20"/>
      <c r="G80" s="17"/>
      <c r="H80" s="19"/>
      <c r="I80" s="19"/>
      <c r="J80" s="34"/>
      <c r="K80" s="22"/>
      <c r="L80" s="23"/>
      <c r="M80" s="24"/>
      <c r="N80" s="23"/>
      <c r="O80" s="24"/>
      <c r="P80" s="23"/>
      <c r="Q80" s="24"/>
      <c r="R80" s="23"/>
      <c r="S80" s="24"/>
      <c r="T80" s="23"/>
      <c r="U80" s="24"/>
      <c r="V80" s="23"/>
      <c r="W80" s="24"/>
    </row>
    <row r="81" spans="1:23" x14ac:dyDescent="0.3">
      <c r="A81" s="35"/>
      <c r="B81" s="93"/>
      <c r="C81" s="88"/>
      <c r="D81" s="39"/>
      <c r="E81" s="39"/>
      <c r="F81" s="20"/>
      <c r="G81" s="17"/>
      <c r="H81" s="19"/>
      <c r="I81" s="19"/>
      <c r="J81" s="34"/>
      <c r="K81" s="22"/>
      <c r="L81" s="23"/>
      <c r="M81" s="24"/>
      <c r="N81" s="23"/>
      <c r="O81" s="24"/>
      <c r="P81" s="23"/>
      <c r="Q81" s="24"/>
      <c r="R81" s="23"/>
      <c r="S81" s="24"/>
      <c r="T81" s="23"/>
      <c r="U81" s="24"/>
      <c r="V81" s="23"/>
      <c r="W81" s="24"/>
    </row>
    <row r="82" spans="1:23" x14ac:dyDescent="0.3">
      <c r="A82" s="35"/>
      <c r="B82" s="94"/>
      <c r="C82" s="88"/>
      <c r="D82" s="39"/>
      <c r="E82" s="39"/>
      <c r="F82" s="20"/>
      <c r="G82" s="17"/>
      <c r="H82" s="19"/>
      <c r="I82" s="19"/>
      <c r="J82" s="34"/>
      <c r="K82" s="22"/>
      <c r="L82" s="23"/>
      <c r="M82" s="24"/>
      <c r="N82" s="23"/>
      <c r="O82" s="24"/>
      <c r="P82" s="23"/>
      <c r="Q82" s="24"/>
      <c r="R82" s="23"/>
      <c r="S82" s="24"/>
      <c r="T82" s="23"/>
      <c r="U82" s="24"/>
      <c r="V82" s="23"/>
      <c r="W82" s="24"/>
    </row>
    <row r="83" spans="1:23" x14ac:dyDescent="0.3">
      <c r="A83" s="35"/>
      <c r="B83" s="93"/>
      <c r="C83" s="88"/>
      <c r="D83" s="39"/>
      <c r="E83" s="39"/>
      <c r="F83" s="20"/>
      <c r="G83" s="17"/>
      <c r="H83" s="19"/>
      <c r="I83" s="19"/>
      <c r="J83" s="34"/>
      <c r="K83" s="22"/>
      <c r="L83" s="23"/>
      <c r="M83" s="24"/>
      <c r="N83" s="23"/>
      <c r="O83" s="24"/>
      <c r="P83" s="23"/>
      <c r="Q83" s="24"/>
      <c r="R83" s="23"/>
      <c r="S83" s="24"/>
      <c r="T83" s="23"/>
      <c r="U83" s="24"/>
      <c r="V83" s="23"/>
      <c r="W83" s="24"/>
    </row>
    <row r="84" spans="1:23" x14ac:dyDescent="0.3">
      <c r="A84" s="35"/>
      <c r="B84" s="93"/>
      <c r="C84" s="88"/>
      <c r="D84" s="39"/>
      <c r="E84" s="39"/>
      <c r="F84" s="20"/>
      <c r="G84" s="17"/>
      <c r="H84" s="19"/>
      <c r="I84" s="19"/>
      <c r="J84" s="34"/>
      <c r="K84" s="22"/>
      <c r="L84" s="23"/>
      <c r="M84" s="24"/>
      <c r="N84" s="23"/>
      <c r="O84" s="24"/>
      <c r="P84" s="23"/>
      <c r="Q84" s="24"/>
      <c r="R84" s="23"/>
      <c r="S84" s="24"/>
      <c r="T84" s="23"/>
      <c r="U84" s="24"/>
      <c r="V84" s="23"/>
      <c r="W84" s="24"/>
    </row>
    <row r="85" spans="1:23" x14ac:dyDescent="0.3">
      <c r="A85" s="35"/>
      <c r="B85" s="94"/>
      <c r="C85" s="88"/>
      <c r="D85" s="39"/>
      <c r="E85" s="39"/>
      <c r="F85" s="20"/>
      <c r="G85" s="17"/>
      <c r="H85" s="19"/>
      <c r="I85" s="19"/>
      <c r="J85" s="34"/>
      <c r="K85" s="22"/>
      <c r="L85" s="23"/>
      <c r="M85" s="24"/>
      <c r="N85" s="23"/>
      <c r="O85" s="24"/>
      <c r="P85" s="23"/>
      <c r="Q85" s="24"/>
      <c r="R85" s="23"/>
      <c r="S85" s="24"/>
      <c r="T85" s="23"/>
      <c r="U85" s="24"/>
      <c r="V85" s="23"/>
      <c r="W85" s="24"/>
    </row>
    <row r="86" spans="1:23" x14ac:dyDescent="0.3">
      <c r="A86" s="35"/>
      <c r="B86" s="93"/>
      <c r="C86" s="88"/>
      <c r="D86" s="39"/>
      <c r="E86" s="39"/>
      <c r="F86" s="20"/>
      <c r="G86" s="17"/>
      <c r="H86" s="19"/>
      <c r="I86" s="19"/>
      <c r="J86" s="34"/>
      <c r="K86" s="22"/>
      <c r="L86" s="23"/>
      <c r="M86" s="24"/>
      <c r="N86" s="23"/>
      <c r="O86" s="24"/>
      <c r="P86" s="23"/>
      <c r="Q86" s="24"/>
      <c r="R86" s="23"/>
      <c r="S86" s="24"/>
      <c r="T86" s="23"/>
      <c r="U86" s="24"/>
      <c r="V86" s="23"/>
      <c r="W86" s="24"/>
    </row>
    <row r="87" spans="1:23" x14ac:dyDescent="0.3">
      <c r="A87" s="31"/>
      <c r="B87" s="94"/>
      <c r="C87" s="88"/>
      <c r="D87" s="39"/>
      <c r="E87" s="39"/>
      <c r="F87" s="20"/>
      <c r="G87" s="17"/>
      <c r="H87" s="19"/>
      <c r="I87" s="19"/>
      <c r="J87" s="34"/>
      <c r="K87" s="22"/>
      <c r="L87" s="23"/>
      <c r="M87" s="24"/>
      <c r="N87" s="23"/>
      <c r="O87" s="24"/>
      <c r="P87" s="23"/>
      <c r="Q87" s="24"/>
      <c r="R87" s="23"/>
      <c r="S87" s="24"/>
      <c r="T87" s="23"/>
      <c r="U87" s="24"/>
      <c r="V87" s="23"/>
      <c r="W87" s="24"/>
    </row>
    <row r="88" spans="1:23" x14ac:dyDescent="0.3">
      <c r="A88" s="31"/>
      <c r="B88" s="94"/>
      <c r="C88" s="88"/>
      <c r="D88" s="39"/>
      <c r="E88" s="39"/>
      <c r="F88" s="20"/>
      <c r="G88" s="17"/>
      <c r="H88" s="19"/>
      <c r="I88" s="19"/>
      <c r="J88" s="34"/>
      <c r="K88" s="22"/>
      <c r="L88" s="23"/>
      <c r="M88" s="24"/>
      <c r="N88" s="23"/>
      <c r="O88" s="24"/>
      <c r="P88" s="23"/>
      <c r="Q88" s="24"/>
      <c r="R88" s="23"/>
      <c r="S88" s="24"/>
      <c r="T88" s="23"/>
      <c r="U88" s="24"/>
      <c r="V88" s="23"/>
      <c r="W88" s="24"/>
    </row>
    <row r="89" spans="1:23" x14ac:dyDescent="0.3">
      <c r="A89" s="31"/>
      <c r="B89" s="94"/>
      <c r="C89" s="88"/>
      <c r="D89" s="39"/>
      <c r="E89" s="39"/>
      <c r="F89" s="20"/>
      <c r="G89" s="17"/>
      <c r="H89" s="19"/>
      <c r="I89" s="19"/>
      <c r="J89" s="34"/>
      <c r="K89" s="22"/>
      <c r="L89" s="23"/>
      <c r="M89" s="24"/>
      <c r="N89" s="23"/>
      <c r="O89" s="24"/>
      <c r="P89" s="23"/>
      <c r="Q89" s="24"/>
      <c r="R89" s="23"/>
      <c r="S89" s="24"/>
      <c r="T89" s="23"/>
      <c r="U89" s="24"/>
      <c r="V89" s="23"/>
      <c r="W89" s="24"/>
    </row>
    <row r="90" spans="1:23" x14ac:dyDescent="0.3">
      <c r="A90" s="35"/>
      <c r="B90" s="146"/>
      <c r="C90" s="88"/>
      <c r="D90" s="39"/>
      <c r="E90" s="39"/>
      <c r="F90" s="20"/>
      <c r="G90" s="17"/>
      <c r="H90" s="19"/>
      <c r="I90" s="19"/>
      <c r="J90" s="34"/>
      <c r="K90" s="22"/>
      <c r="L90" s="23"/>
      <c r="M90" s="24"/>
      <c r="N90" s="23"/>
      <c r="O90" s="24"/>
      <c r="P90" s="23"/>
      <c r="Q90" s="24"/>
      <c r="R90" s="23"/>
      <c r="S90" s="24"/>
      <c r="T90" s="23"/>
      <c r="U90" s="24"/>
      <c r="V90" s="23"/>
      <c r="W90" s="24"/>
    </row>
    <row r="91" spans="1:23" x14ac:dyDescent="0.3">
      <c r="A91" s="35"/>
      <c r="B91" s="94"/>
      <c r="C91" s="88"/>
      <c r="D91" s="39"/>
      <c r="E91" s="39"/>
      <c r="F91" s="20"/>
      <c r="G91" s="17"/>
      <c r="H91" s="19"/>
      <c r="I91" s="19"/>
      <c r="J91" s="34"/>
      <c r="K91" s="22"/>
      <c r="L91" s="23"/>
      <c r="M91" s="24"/>
      <c r="N91" s="23"/>
      <c r="O91" s="24"/>
      <c r="P91" s="23"/>
      <c r="Q91" s="24"/>
      <c r="R91" s="23"/>
      <c r="S91" s="24"/>
      <c r="T91" s="23"/>
      <c r="U91" s="24"/>
      <c r="V91" s="23"/>
      <c r="W91" s="24"/>
    </row>
    <row r="92" spans="1:23" x14ac:dyDescent="0.3">
      <c r="A92" s="35"/>
      <c r="B92" s="93"/>
      <c r="C92" s="88"/>
      <c r="D92" s="39"/>
      <c r="E92" s="39"/>
      <c r="F92" s="20"/>
      <c r="G92" s="17"/>
      <c r="H92" s="19"/>
      <c r="I92" s="19"/>
      <c r="J92" s="34"/>
      <c r="K92" s="22"/>
      <c r="L92" s="23"/>
      <c r="M92" s="24"/>
      <c r="N92" s="23"/>
      <c r="O92" s="24"/>
      <c r="P92" s="23"/>
      <c r="Q92" s="24"/>
      <c r="R92" s="23"/>
      <c r="S92" s="24"/>
      <c r="T92" s="23"/>
      <c r="U92" s="24"/>
      <c r="V92" s="23"/>
      <c r="W92" s="24"/>
    </row>
    <row r="93" spans="1:23" x14ac:dyDescent="0.3">
      <c r="A93" s="31"/>
      <c r="B93" s="94"/>
      <c r="C93" s="88"/>
      <c r="D93" s="39"/>
      <c r="E93" s="39"/>
      <c r="F93" s="20"/>
      <c r="G93" s="17"/>
      <c r="H93" s="19"/>
      <c r="I93" s="19"/>
      <c r="J93" s="34"/>
      <c r="K93" s="22"/>
      <c r="L93" s="23"/>
      <c r="M93" s="24"/>
      <c r="N93" s="23"/>
      <c r="O93" s="24"/>
      <c r="P93" s="23"/>
      <c r="Q93" s="24"/>
      <c r="R93" s="23"/>
      <c r="S93" s="24"/>
      <c r="T93" s="23"/>
      <c r="U93" s="24"/>
      <c r="V93" s="23"/>
      <c r="W93" s="24"/>
    </row>
    <row r="94" spans="1:23" x14ac:dyDescent="0.3">
      <c r="A94" s="31"/>
      <c r="B94" s="94"/>
      <c r="C94" s="88"/>
      <c r="D94" s="39"/>
      <c r="E94" s="39"/>
      <c r="F94" s="20"/>
      <c r="G94" s="17"/>
      <c r="H94" s="19"/>
      <c r="I94" s="19"/>
      <c r="J94" s="34"/>
      <c r="K94" s="22"/>
      <c r="L94" s="23"/>
      <c r="M94" s="24"/>
      <c r="N94" s="23"/>
      <c r="O94" s="24"/>
      <c r="P94" s="23"/>
      <c r="Q94" s="24"/>
      <c r="R94" s="23"/>
      <c r="S94" s="24"/>
      <c r="T94" s="23"/>
      <c r="U94" s="24"/>
      <c r="V94" s="23"/>
      <c r="W94" s="24"/>
    </row>
    <row r="95" spans="1:23" x14ac:dyDescent="0.3">
      <c r="A95" s="31"/>
      <c r="B95" s="93"/>
      <c r="C95" s="88"/>
      <c r="D95" s="39"/>
      <c r="E95" s="39"/>
      <c r="F95" s="20"/>
      <c r="G95" s="17"/>
      <c r="H95" s="19"/>
      <c r="I95" s="19"/>
      <c r="J95" s="34"/>
      <c r="K95" s="22"/>
      <c r="L95" s="23"/>
      <c r="M95" s="24"/>
      <c r="N95" s="23"/>
      <c r="O95" s="24"/>
      <c r="P95" s="23"/>
      <c r="Q95" s="24"/>
      <c r="R95" s="23"/>
      <c r="S95" s="24"/>
      <c r="T95" s="23"/>
      <c r="U95" s="24"/>
      <c r="V95" s="23"/>
      <c r="W95" s="24"/>
    </row>
    <row r="96" spans="1:23" x14ac:dyDescent="0.3">
      <c r="A96" s="31"/>
      <c r="B96" s="93"/>
      <c r="C96" s="88"/>
      <c r="D96" s="39"/>
      <c r="E96" s="39"/>
      <c r="F96" s="20"/>
      <c r="G96" s="17"/>
      <c r="H96" s="19"/>
      <c r="I96" s="19"/>
      <c r="J96" s="34"/>
      <c r="K96" s="22"/>
      <c r="L96" s="23"/>
      <c r="M96" s="24"/>
      <c r="N96" s="23"/>
      <c r="O96" s="24"/>
      <c r="P96" s="23"/>
      <c r="Q96" s="24"/>
      <c r="R96" s="23"/>
      <c r="S96" s="24"/>
      <c r="T96" s="23"/>
      <c r="U96" s="24"/>
      <c r="V96" s="23"/>
      <c r="W96" s="24"/>
    </row>
    <row r="97" spans="1:23" x14ac:dyDescent="0.3">
      <c r="A97" s="31"/>
      <c r="B97" s="93"/>
      <c r="C97" s="88"/>
      <c r="D97" s="39"/>
      <c r="E97" s="39"/>
      <c r="F97" s="20"/>
      <c r="G97" s="17"/>
      <c r="H97" s="19"/>
      <c r="I97" s="19"/>
      <c r="J97" s="34"/>
      <c r="K97" s="22"/>
      <c r="L97" s="23"/>
      <c r="M97" s="24"/>
      <c r="N97" s="23"/>
      <c r="O97" s="24"/>
      <c r="P97" s="23"/>
      <c r="Q97" s="24"/>
      <c r="R97" s="23"/>
      <c r="S97" s="24"/>
      <c r="T97" s="23"/>
      <c r="U97" s="24"/>
      <c r="V97" s="23"/>
      <c r="W97" s="24"/>
    </row>
    <row r="98" spans="1:23" x14ac:dyDescent="0.3">
      <c r="A98" s="31"/>
      <c r="B98" s="94"/>
      <c r="C98" s="88"/>
      <c r="D98" s="39"/>
      <c r="E98" s="39"/>
      <c r="F98" s="20"/>
      <c r="G98" s="17"/>
      <c r="H98" s="19"/>
      <c r="I98" s="19"/>
      <c r="J98" s="34"/>
      <c r="K98" s="22"/>
      <c r="L98" s="23"/>
      <c r="M98" s="24"/>
      <c r="N98" s="23"/>
      <c r="O98" s="24"/>
      <c r="P98" s="23"/>
      <c r="Q98" s="24"/>
      <c r="R98" s="23"/>
      <c r="S98" s="24"/>
      <c r="T98" s="23"/>
      <c r="U98" s="24"/>
      <c r="V98" s="23"/>
      <c r="W98" s="24"/>
    </row>
    <row r="99" spans="1:23" x14ac:dyDescent="0.3">
      <c r="A99" s="31"/>
      <c r="B99" s="93"/>
      <c r="C99" s="88"/>
      <c r="D99" s="39"/>
      <c r="E99" s="39"/>
      <c r="F99" s="20"/>
      <c r="G99" s="17"/>
      <c r="H99" s="19"/>
      <c r="I99" s="19"/>
      <c r="J99" s="34"/>
      <c r="K99" s="22"/>
      <c r="L99" s="23"/>
      <c r="M99" s="24"/>
      <c r="N99" s="23"/>
      <c r="O99" s="24"/>
      <c r="P99" s="23"/>
      <c r="Q99" s="24"/>
      <c r="R99" s="23"/>
      <c r="S99" s="24"/>
      <c r="T99" s="23"/>
      <c r="U99" s="24"/>
      <c r="V99" s="23"/>
      <c r="W99" s="24"/>
    </row>
    <row r="100" spans="1:23" x14ac:dyDescent="0.3">
      <c r="A100" s="31"/>
      <c r="B100" s="93"/>
      <c r="C100" s="88"/>
      <c r="D100" s="39"/>
      <c r="E100" s="39"/>
      <c r="F100" s="20"/>
      <c r="G100" s="17"/>
      <c r="H100" s="19"/>
      <c r="I100" s="19"/>
      <c r="J100" s="34"/>
      <c r="K100" s="22"/>
      <c r="L100" s="23"/>
      <c r="M100" s="24"/>
      <c r="N100" s="23"/>
      <c r="O100" s="24"/>
      <c r="P100" s="23"/>
      <c r="Q100" s="24"/>
      <c r="R100" s="23"/>
      <c r="S100" s="24"/>
      <c r="T100" s="23"/>
      <c r="U100" s="24"/>
      <c r="V100" s="23"/>
      <c r="W100" s="24"/>
    </row>
    <row r="101" spans="1:23" x14ac:dyDescent="0.3">
      <c r="A101" s="31"/>
      <c r="B101" s="94"/>
      <c r="C101" s="88"/>
      <c r="D101" s="39"/>
      <c r="E101" s="39"/>
      <c r="F101" s="20"/>
      <c r="G101" s="17"/>
      <c r="H101" s="19"/>
      <c r="I101" s="19"/>
      <c r="J101" s="34"/>
      <c r="K101" s="22"/>
      <c r="L101" s="23"/>
      <c r="M101" s="24"/>
      <c r="N101" s="23"/>
      <c r="O101" s="24"/>
      <c r="P101" s="23"/>
      <c r="Q101" s="24"/>
      <c r="R101" s="23"/>
      <c r="S101" s="24"/>
      <c r="T101" s="23"/>
      <c r="U101" s="24"/>
      <c r="V101" s="23"/>
      <c r="W101" s="24"/>
    </row>
    <row r="102" spans="1:23" x14ac:dyDescent="0.3">
      <c r="A102" s="31"/>
      <c r="B102" s="93"/>
      <c r="C102" s="88"/>
      <c r="D102" s="39"/>
      <c r="E102" s="39"/>
      <c r="F102" s="20"/>
      <c r="G102" s="17"/>
      <c r="H102" s="19"/>
      <c r="I102" s="19"/>
      <c r="J102" s="34"/>
      <c r="K102" s="22"/>
      <c r="L102" s="23"/>
      <c r="M102" s="24"/>
      <c r="N102" s="23"/>
      <c r="O102" s="24"/>
      <c r="P102" s="23"/>
      <c r="Q102" s="24"/>
      <c r="R102" s="23"/>
      <c r="S102" s="24"/>
      <c r="T102" s="23"/>
      <c r="U102" s="24"/>
      <c r="V102" s="23"/>
      <c r="W102" s="24"/>
    </row>
    <row r="103" spans="1:23" x14ac:dyDescent="0.3">
      <c r="A103" s="31"/>
      <c r="B103" s="93"/>
      <c r="C103" s="88"/>
      <c r="D103" s="39"/>
      <c r="E103" s="39"/>
      <c r="F103" s="20"/>
      <c r="G103" s="17"/>
      <c r="H103" s="19"/>
      <c r="I103" s="19"/>
      <c r="J103" s="34"/>
      <c r="K103" s="22"/>
      <c r="L103" s="23"/>
      <c r="M103" s="24"/>
      <c r="N103" s="23"/>
      <c r="O103" s="24"/>
      <c r="P103" s="23"/>
      <c r="Q103" s="24"/>
      <c r="R103" s="23"/>
      <c r="S103" s="24"/>
      <c r="T103" s="23"/>
      <c r="U103" s="24"/>
      <c r="V103" s="23"/>
      <c r="W103" s="24"/>
    </row>
    <row r="104" spans="1:23" x14ac:dyDescent="0.3">
      <c r="A104" s="31"/>
      <c r="B104" s="41"/>
      <c r="C104" s="88"/>
      <c r="D104" s="39"/>
      <c r="E104" s="39"/>
      <c r="F104" s="20"/>
      <c r="G104" s="17"/>
      <c r="H104" s="19"/>
      <c r="I104" s="19"/>
      <c r="J104" s="34"/>
      <c r="K104" s="22"/>
      <c r="L104" s="23"/>
      <c r="M104" s="24"/>
      <c r="N104" s="23"/>
      <c r="O104" s="24"/>
      <c r="P104" s="23"/>
      <c r="Q104" s="24"/>
      <c r="R104" s="23"/>
      <c r="S104" s="24"/>
      <c r="T104" s="23"/>
      <c r="U104" s="24"/>
      <c r="V104" s="23"/>
      <c r="W104" s="24"/>
    </row>
    <row r="105" spans="1:23" x14ac:dyDescent="0.3">
      <c r="A105" s="31"/>
      <c r="B105" s="94"/>
      <c r="C105" s="88"/>
      <c r="D105" s="39"/>
      <c r="E105" s="39"/>
      <c r="F105" s="20"/>
      <c r="G105" s="17"/>
      <c r="H105" s="19"/>
      <c r="I105" s="19"/>
      <c r="J105" s="34"/>
      <c r="K105" s="22"/>
      <c r="L105" s="23"/>
      <c r="M105" s="24"/>
      <c r="N105" s="23"/>
      <c r="O105" s="24"/>
      <c r="P105" s="23"/>
      <c r="Q105" s="24"/>
      <c r="R105" s="23"/>
      <c r="S105" s="24"/>
      <c r="T105" s="23"/>
      <c r="U105" s="24"/>
      <c r="V105" s="23"/>
      <c r="W105" s="24"/>
    </row>
    <row r="106" spans="1:23" x14ac:dyDescent="0.3">
      <c r="A106" s="31"/>
      <c r="B106" s="93"/>
      <c r="C106" s="88"/>
      <c r="D106" s="39"/>
      <c r="E106" s="39"/>
      <c r="F106" s="20"/>
      <c r="G106" s="17"/>
      <c r="H106" s="19"/>
      <c r="I106" s="19"/>
      <c r="J106" s="34"/>
      <c r="K106" s="22"/>
      <c r="L106" s="23"/>
      <c r="M106" s="24"/>
      <c r="N106" s="23"/>
      <c r="O106" s="24"/>
      <c r="P106" s="23"/>
      <c r="Q106" s="24"/>
      <c r="R106" s="23"/>
      <c r="S106" s="24"/>
      <c r="T106" s="23"/>
      <c r="U106" s="24"/>
      <c r="V106" s="23"/>
      <c r="W106" s="24"/>
    </row>
    <row r="107" spans="1:23" x14ac:dyDescent="0.3">
      <c r="A107" s="31"/>
      <c r="B107" s="93"/>
      <c r="C107" s="88"/>
      <c r="D107" s="39"/>
      <c r="E107" s="39"/>
      <c r="F107" s="20"/>
      <c r="G107" s="17"/>
      <c r="H107" s="19"/>
      <c r="I107" s="19"/>
      <c r="J107" s="34"/>
      <c r="K107" s="22"/>
      <c r="L107" s="23"/>
      <c r="M107" s="24"/>
      <c r="N107" s="23"/>
      <c r="O107" s="24"/>
      <c r="P107" s="23"/>
      <c r="Q107" s="24"/>
      <c r="R107" s="23"/>
      <c r="S107" s="24"/>
      <c r="T107" s="23"/>
      <c r="U107" s="24"/>
      <c r="V107" s="23"/>
      <c r="W107" s="24"/>
    </row>
    <row r="108" spans="1:23" x14ac:dyDescent="0.3">
      <c r="A108" s="31"/>
      <c r="B108" s="93"/>
      <c r="C108" s="88"/>
      <c r="D108" s="39"/>
      <c r="E108" s="39"/>
      <c r="F108" s="20"/>
      <c r="G108" s="17"/>
      <c r="H108" s="19"/>
      <c r="I108" s="19"/>
      <c r="J108" s="34"/>
      <c r="K108" s="22"/>
      <c r="L108" s="23"/>
      <c r="M108" s="24"/>
      <c r="N108" s="23"/>
      <c r="O108" s="24"/>
      <c r="P108" s="23"/>
      <c r="Q108" s="24"/>
      <c r="R108" s="23"/>
      <c r="S108" s="24"/>
      <c r="T108" s="23"/>
      <c r="U108" s="24"/>
      <c r="V108" s="23"/>
      <c r="W108" s="24"/>
    </row>
    <row r="109" spans="1:23" x14ac:dyDescent="0.3">
      <c r="A109" s="31"/>
      <c r="B109" s="93"/>
      <c r="C109" s="88"/>
      <c r="D109" s="39"/>
      <c r="E109" s="39"/>
      <c r="F109" s="20"/>
      <c r="G109" s="17"/>
      <c r="H109" s="19"/>
      <c r="I109" s="19"/>
      <c r="J109" s="34"/>
      <c r="K109" s="22"/>
      <c r="L109" s="23"/>
      <c r="M109" s="24"/>
      <c r="N109" s="23"/>
      <c r="O109" s="24"/>
      <c r="P109" s="23"/>
      <c r="Q109" s="24"/>
      <c r="R109" s="23"/>
      <c r="S109" s="24"/>
      <c r="T109" s="23"/>
      <c r="U109" s="24"/>
      <c r="V109" s="23"/>
      <c r="W109" s="24"/>
    </row>
    <row r="110" spans="1:23" x14ac:dyDescent="0.3">
      <c r="A110" s="31"/>
      <c r="B110" s="43"/>
      <c r="C110" s="88"/>
      <c r="D110" s="39"/>
      <c r="E110" s="39"/>
      <c r="F110" s="20"/>
      <c r="G110" s="17"/>
      <c r="H110" s="19"/>
      <c r="I110" s="19"/>
      <c r="J110" s="34"/>
      <c r="K110" s="22"/>
      <c r="L110" s="23"/>
      <c r="M110" s="24"/>
      <c r="N110" s="23"/>
      <c r="O110" s="24"/>
      <c r="P110" s="23"/>
      <c r="Q110" s="24"/>
      <c r="R110" s="23"/>
      <c r="S110" s="24"/>
      <c r="T110" s="23"/>
      <c r="U110" s="24"/>
      <c r="V110" s="23"/>
      <c r="W110" s="24"/>
    </row>
    <row r="111" spans="1:23" x14ac:dyDescent="0.3">
      <c r="A111" s="31"/>
      <c r="B111" s="93"/>
      <c r="C111" s="88"/>
      <c r="D111" s="39"/>
      <c r="E111" s="39"/>
      <c r="F111" s="20"/>
      <c r="G111" s="17"/>
      <c r="H111" s="19"/>
      <c r="I111" s="19"/>
      <c r="J111" s="34"/>
      <c r="K111" s="22"/>
      <c r="L111" s="23"/>
      <c r="M111" s="24"/>
      <c r="N111" s="23"/>
      <c r="O111" s="24"/>
      <c r="P111" s="23"/>
      <c r="Q111" s="24"/>
      <c r="R111" s="23"/>
      <c r="S111" s="24"/>
      <c r="T111" s="23"/>
      <c r="U111" s="24"/>
      <c r="V111" s="23"/>
      <c r="W111" s="24"/>
    </row>
    <row r="112" spans="1:23" x14ac:dyDescent="0.3">
      <c r="A112" s="31"/>
      <c r="B112" s="93"/>
      <c r="C112" s="88"/>
      <c r="D112" s="39"/>
      <c r="E112" s="39"/>
      <c r="F112" s="20"/>
      <c r="G112" s="17"/>
      <c r="H112" s="19"/>
      <c r="I112" s="19"/>
      <c r="J112" s="34"/>
      <c r="K112" s="22"/>
      <c r="L112" s="23"/>
      <c r="M112" s="24"/>
      <c r="N112" s="23"/>
      <c r="O112" s="24"/>
      <c r="P112" s="23"/>
      <c r="Q112" s="24"/>
      <c r="R112" s="23"/>
      <c r="S112" s="24"/>
      <c r="T112" s="23"/>
      <c r="U112" s="24"/>
      <c r="V112" s="23"/>
      <c r="W112" s="24"/>
    </row>
    <row r="113" spans="1:23" x14ac:dyDescent="0.3">
      <c r="A113" s="31"/>
      <c r="B113" s="93"/>
      <c r="C113" s="88"/>
      <c r="D113" s="39"/>
      <c r="E113" s="39"/>
      <c r="F113" s="20"/>
      <c r="G113" s="17"/>
      <c r="H113" s="19"/>
      <c r="I113" s="19"/>
      <c r="J113" s="34"/>
      <c r="K113" s="22"/>
      <c r="L113" s="23"/>
      <c r="M113" s="24"/>
      <c r="N113" s="23"/>
      <c r="O113" s="24"/>
      <c r="P113" s="23"/>
      <c r="Q113" s="24"/>
      <c r="R113" s="23"/>
      <c r="S113" s="24"/>
      <c r="T113" s="23"/>
      <c r="U113" s="24"/>
      <c r="V113" s="23"/>
      <c r="W113" s="24"/>
    </row>
    <row r="114" spans="1:23" x14ac:dyDescent="0.3">
      <c r="A114" s="31"/>
      <c r="B114" s="94"/>
      <c r="C114" s="88"/>
      <c r="D114" s="39"/>
      <c r="E114" s="39"/>
      <c r="F114" s="20"/>
      <c r="G114" s="17"/>
      <c r="H114" s="19"/>
      <c r="I114" s="19"/>
      <c r="J114" s="34"/>
      <c r="K114" s="22"/>
      <c r="L114" s="23"/>
      <c r="M114" s="24"/>
      <c r="N114" s="23"/>
      <c r="O114" s="24"/>
      <c r="P114" s="23"/>
      <c r="Q114" s="24"/>
      <c r="R114" s="23"/>
      <c r="S114" s="24"/>
      <c r="T114" s="23"/>
      <c r="U114" s="24"/>
      <c r="V114" s="23"/>
      <c r="W114" s="24"/>
    </row>
    <row r="115" spans="1:23" x14ac:dyDescent="0.3">
      <c r="A115" s="31"/>
      <c r="B115" s="93"/>
      <c r="C115" s="88"/>
      <c r="D115" s="39"/>
      <c r="E115" s="39"/>
      <c r="F115" s="20"/>
      <c r="G115" s="17"/>
      <c r="H115" s="19"/>
      <c r="I115" s="19"/>
      <c r="J115" s="34"/>
      <c r="K115" s="22"/>
      <c r="L115" s="23"/>
      <c r="M115" s="24"/>
      <c r="N115" s="23"/>
      <c r="O115" s="24"/>
      <c r="P115" s="23"/>
      <c r="Q115" s="24"/>
      <c r="R115" s="23"/>
      <c r="S115" s="24"/>
      <c r="T115" s="23"/>
      <c r="U115" s="24"/>
      <c r="V115" s="23"/>
      <c r="W115" s="24"/>
    </row>
    <row r="116" spans="1:23" x14ac:dyDescent="0.3">
      <c r="A116" s="31"/>
      <c r="B116" s="93"/>
      <c r="C116" s="88"/>
      <c r="D116" s="39"/>
      <c r="E116" s="39"/>
      <c r="F116" s="20"/>
      <c r="G116" s="17"/>
      <c r="H116" s="19"/>
      <c r="I116" s="19"/>
      <c r="J116" s="34"/>
      <c r="K116" s="22"/>
      <c r="L116" s="23"/>
      <c r="M116" s="24"/>
      <c r="N116" s="23"/>
      <c r="O116" s="24"/>
      <c r="P116" s="23"/>
      <c r="Q116" s="24"/>
      <c r="R116" s="23"/>
      <c r="S116" s="24"/>
      <c r="T116" s="23"/>
      <c r="U116" s="24"/>
      <c r="V116" s="23"/>
      <c r="W116" s="24"/>
    </row>
    <row r="117" spans="1:23" x14ac:dyDescent="0.3">
      <c r="A117" s="31"/>
      <c r="B117" s="93"/>
      <c r="C117" s="88"/>
      <c r="D117" s="39"/>
      <c r="E117" s="39"/>
      <c r="F117" s="20"/>
      <c r="G117" s="17"/>
      <c r="H117" s="19"/>
      <c r="I117" s="19"/>
      <c r="J117" s="34"/>
      <c r="K117" s="22"/>
      <c r="L117" s="23"/>
      <c r="M117" s="24"/>
      <c r="N117" s="23"/>
      <c r="O117" s="24"/>
      <c r="P117" s="23"/>
      <c r="Q117" s="24"/>
      <c r="R117" s="23"/>
      <c r="S117" s="24"/>
      <c r="T117" s="23"/>
      <c r="U117" s="24"/>
      <c r="V117" s="23"/>
      <c r="W117" s="24"/>
    </row>
    <row r="118" spans="1:23" x14ac:dyDescent="0.3">
      <c r="A118" s="31"/>
      <c r="B118" s="93"/>
      <c r="C118" s="88"/>
      <c r="D118" s="39"/>
      <c r="E118" s="39"/>
      <c r="F118" s="20"/>
      <c r="G118" s="17"/>
      <c r="H118" s="19"/>
      <c r="I118" s="19"/>
      <c r="J118" s="34"/>
      <c r="K118" s="22"/>
      <c r="L118" s="23"/>
      <c r="M118" s="24"/>
      <c r="N118" s="23"/>
      <c r="O118" s="24"/>
      <c r="P118" s="23"/>
      <c r="Q118" s="24"/>
      <c r="R118" s="23"/>
      <c r="S118" s="24"/>
      <c r="T118" s="23"/>
      <c r="U118" s="24"/>
      <c r="V118" s="23"/>
      <c r="W118" s="24"/>
    </row>
    <row r="119" spans="1:23" x14ac:dyDescent="0.3">
      <c r="A119" s="31"/>
      <c r="B119" s="93"/>
      <c r="C119" s="88"/>
      <c r="D119" s="39"/>
      <c r="E119" s="39"/>
      <c r="F119" s="20"/>
      <c r="G119" s="17"/>
      <c r="H119" s="19"/>
      <c r="I119" s="19"/>
      <c r="J119" s="34"/>
      <c r="K119" s="22"/>
      <c r="L119" s="23"/>
      <c r="M119" s="24"/>
      <c r="N119" s="23"/>
      <c r="O119" s="24"/>
      <c r="P119" s="23"/>
      <c r="Q119" s="24"/>
      <c r="R119" s="23"/>
      <c r="S119" s="24"/>
      <c r="T119" s="23"/>
      <c r="U119" s="24"/>
      <c r="V119" s="23"/>
      <c r="W119" s="24"/>
    </row>
    <row r="120" spans="1:23" x14ac:dyDescent="0.3">
      <c r="A120" s="31"/>
      <c r="B120" s="93"/>
      <c r="C120" s="88"/>
      <c r="D120" s="39"/>
      <c r="E120" s="39"/>
      <c r="F120" s="20"/>
      <c r="G120" s="17"/>
      <c r="H120" s="19"/>
      <c r="I120" s="19"/>
      <c r="J120" s="34"/>
      <c r="K120" s="22"/>
      <c r="L120" s="23"/>
      <c r="M120" s="24"/>
      <c r="N120" s="23"/>
      <c r="O120" s="24"/>
      <c r="P120" s="23"/>
      <c r="Q120" s="24"/>
      <c r="R120" s="23"/>
      <c r="S120" s="24"/>
      <c r="T120" s="23"/>
      <c r="U120" s="24"/>
      <c r="V120" s="23"/>
      <c r="W120" s="24"/>
    </row>
    <row r="121" spans="1:23" x14ac:dyDescent="0.3">
      <c r="A121" s="31"/>
      <c r="B121" s="94"/>
      <c r="C121" s="88"/>
      <c r="D121" s="39"/>
      <c r="E121" s="39"/>
      <c r="F121" s="20"/>
      <c r="G121" s="17"/>
      <c r="H121" s="19"/>
      <c r="I121" s="19"/>
      <c r="J121" s="34"/>
      <c r="K121" s="22"/>
      <c r="L121" s="23"/>
      <c r="M121" s="24"/>
      <c r="N121" s="23"/>
      <c r="O121" s="24"/>
      <c r="P121" s="23"/>
      <c r="Q121" s="24"/>
      <c r="R121" s="23"/>
      <c r="S121" s="24"/>
      <c r="T121" s="23"/>
      <c r="U121" s="24"/>
      <c r="V121" s="23"/>
      <c r="W121" s="24"/>
    </row>
    <row r="122" spans="1:23" x14ac:dyDescent="0.3">
      <c r="A122" s="31"/>
      <c r="B122" s="96"/>
      <c r="C122" s="88"/>
      <c r="D122" s="39"/>
      <c r="E122" s="39"/>
      <c r="F122" s="20"/>
      <c r="G122" s="17"/>
      <c r="H122" s="19"/>
      <c r="I122" s="19"/>
      <c r="J122" s="34"/>
      <c r="K122" s="22"/>
      <c r="L122" s="23"/>
      <c r="M122" s="24"/>
      <c r="N122" s="23"/>
      <c r="O122" s="24"/>
      <c r="P122" s="23"/>
      <c r="Q122" s="24"/>
      <c r="R122" s="23"/>
      <c r="S122" s="24"/>
      <c r="T122" s="23"/>
      <c r="U122" s="24"/>
      <c r="V122" s="23"/>
      <c r="W122" s="24"/>
    </row>
    <row r="123" spans="1:23" x14ac:dyDescent="0.3">
      <c r="A123" s="31"/>
      <c r="B123" s="94"/>
      <c r="C123" s="88"/>
      <c r="D123" s="39"/>
      <c r="E123" s="39"/>
      <c r="F123" s="20"/>
      <c r="G123" s="17"/>
      <c r="H123" s="19"/>
      <c r="I123" s="19"/>
      <c r="J123" s="34"/>
      <c r="K123" s="22"/>
      <c r="L123" s="23"/>
      <c r="M123" s="24"/>
      <c r="N123" s="23"/>
      <c r="O123" s="24"/>
      <c r="P123" s="23"/>
      <c r="Q123" s="24"/>
      <c r="R123" s="23"/>
      <c r="S123" s="24"/>
      <c r="T123" s="23"/>
      <c r="U123" s="24"/>
      <c r="V123" s="23"/>
      <c r="W123" s="24"/>
    </row>
    <row r="124" spans="1:23" x14ac:dyDescent="0.3">
      <c r="A124" s="31"/>
      <c r="B124" s="94"/>
      <c r="C124" s="88"/>
      <c r="D124" s="39"/>
      <c r="E124" s="39"/>
      <c r="F124" s="20"/>
      <c r="G124" s="17"/>
      <c r="H124" s="19"/>
      <c r="I124" s="19"/>
      <c r="J124" s="34"/>
      <c r="K124" s="22"/>
      <c r="L124" s="23"/>
      <c r="M124" s="24"/>
      <c r="N124" s="23"/>
      <c r="O124" s="24"/>
      <c r="P124" s="23"/>
      <c r="Q124" s="24"/>
      <c r="R124" s="23"/>
      <c r="S124" s="24"/>
      <c r="T124" s="23"/>
      <c r="U124" s="24"/>
      <c r="V124" s="23"/>
      <c r="W124" s="24"/>
    </row>
    <row r="125" spans="1:23" x14ac:dyDescent="0.3">
      <c r="A125" s="31"/>
      <c r="B125" s="93"/>
      <c r="C125" s="88"/>
      <c r="D125" s="39"/>
      <c r="E125" s="39"/>
      <c r="F125" s="20"/>
      <c r="G125" s="17"/>
      <c r="H125" s="19"/>
      <c r="I125" s="19"/>
      <c r="J125" s="34"/>
      <c r="K125" s="22"/>
      <c r="L125" s="23"/>
      <c r="M125" s="24"/>
      <c r="N125" s="23"/>
      <c r="O125" s="24"/>
      <c r="P125" s="23"/>
      <c r="Q125" s="24"/>
      <c r="R125" s="23"/>
      <c r="S125" s="24"/>
      <c r="T125" s="23"/>
      <c r="U125" s="24"/>
      <c r="V125" s="23"/>
      <c r="W125" s="24"/>
    </row>
    <row r="126" spans="1:23" x14ac:dyDescent="0.3">
      <c r="A126" s="31"/>
      <c r="B126" s="93"/>
      <c r="C126" s="88"/>
      <c r="D126" s="39"/>
      <c r="E126" s="39"/>
      <c r="F126" s="20"/>
      <c r="G126" s="17"/>
      <c r="H126" s="19"/>
      <c r="I126" s="19"/>
      <c r="J126" s="34"/>
      <c r="K126" s="22"/>
      <c r="L126" s="23"/>
      <c r="M126" s="24"/>
      <c r="N126" s="23"/>
      <c r="O126" s="24"/>
      <c r="P126" s="23"/>
      <c r="Q126" s="24"/>
      <c r="R126" s="23"/>
      <c r="S126" s="24"/>
      <c r="T126" s="23"/>
      <c r="U126" s="24"/>
      <c r="V126" s="23"/>
      <c r="W126" s="24"/>
    </row>
  </sheetData>
  <conditionalFormatting sqref="G2:G126">
    <cfRule type="cellIs" dxfId="9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A733-2315-4FFA-B712-B85A36BE1B32}">
  <sheetPr codeName="Sheet8">
    <tabColor theme="5" tint="0.59999389629810485"/>
  </sheetPr>
  <dimension ref="A1:AMV132"/>
  <sheetViews>
    <sheetView zoomScale="80" zoomScaleNormal="80" workbookViewId="0">
      <pane xSplit="11" ySplit="1" topLeftCell="AG2" activePane="bottomRight" state="frozen"/>
      <selection activeCell="D82" sqref="D82"/>
      <selection pane="topRight" activeCell="D82" sqref="D82"/>
      <selection pane="bottomLeft" activeCell="D82" sqref="D82"/>
      <selection pane="bottomRight" activeCell="AI5" sqref="AI5"/>
    </sheetView>
  </sheetViews>
  <sheetFormatPr defaultRowHeight="14.4" x14ac:dyDescent="0.3"/>
  <cols>
    <col min="1" max="1" width="8" style="37" customWidth="1"/>
    <col min="2" max="2" width="10.33203125" style="63" customWidth="1"/>
    <col min="3" max="3" width="10.33203125" style="63" hidden="1" customWidth="1"/>
    <col min="4" max="4" width="24.33203125" style="16" customWidth="1"/>
    <col min="5" max="5" width="18.88671875" style="16" customWidth="1"/>
    <col min="6" max="6" width="6.88671875" style="16" customWidth="1"/>
    <col min="7" max="7" width="6.109375" style="16" customWidth="1"/>
    <col min="8" max="8" width="6.44140625" style="16" hidden="1" customWidth="1"/>
    <col min="9" max="9" width="8.44140625" style="16" customWidth="1"/>
    <col min="10" max="10" width="7.33203125" style="16" customWidth="1"/>
    <col min="11" max="11" width="8.109375" style="38" customWidth="1"/>
    <col min="12" max="17" width="6.88671875" style="16" customWidth="1"/>
    <col min="18" max="18" width="9.44140625" style="16" bestFit="1" customWidth="1"/>
    <col min="19" max="19" width="9.44140625" style="16" customWidth="1"/>
    <col min="20" max="35" width="6.88671875" style="16" customWidth="1"/>
    <col min="36" max="1036" width="10.33203125" style="16" customWidth="1"/>
  </cols>
  <sheetData>
    <row r="1" spans="1:35" ht="28.8" x14ac:dyDescent="0.3">
      <c r="A1" s="10" t="s">
        <v>218</v>
      </c>
      <c r="B1" s="62" t="s">
        <v>187</v>
      </c>
      <c r="C1" s="62" t="s">
        <v>446</v>
      </c>
      <c r="D1" s="11" t="s">
        <v>3</v>
      </c>
      <c r="E1" s="11" t="s">
        <v>4</v>
      </c>
      <c r="F1" s="11" t="s">
        <v>5</v>
      </c>
      <c r="G1" s="12" t="s">
        <v>188</v>
      </c>
      <c r="H1" s="13" t="s">
        <v>8</v>
      </c>
      <c r="I1" s="14" t="s">
        <v>219</v>
      </c>
      <c r="J1" s="14" t="s">
        <v>220</v>
      </c>
      <c r="K1" s="15" t="s">
        <v>221</v>
      </c>
      <c r="L1" s="14" t="s">
        <v>222</v>
      </c>
      <c r="M1" s="14" t="s">
        <v>435</v>
      </c>
      <c r="N1" s="14" t="s">
        <v>223</v>
      </c>
      <c r="O1" s="14" t="s">
        <v>436</v>
      </c>
      <c r="P1" s="14" t="s">
        <v>224</v>
      </c>
      <c r="Q1" s="14" t="s">
        <v>278</v>
      </c>
      <c r="R1" s="14" t="s">
        <v>225</v>
      </c>
      <c r="S1" s="14" t="s">
        <v>445</v>
      </c>
      <c r="T1" s="14" t="s">
        <v>217</v>
      </c>
      <c r="U1" s="77" t="s">
        <v>281</v>
      </c>
      <c r="V1" s="14" t="s">
        <v>226</v>
      </c>
      <c r="W1" s="14" t="s">
        <v>452</v>
      </c>
      <c r="X1" s="14" t="s">
        <v>227</v>
      </c>
      <c r="Y1" s="14" t="s">
        <v>430</v>
      </c>
      <c r="Z1" s="14" t="s">
        <v>228</v>
      </c>
      <c r="AA1" s="14" t="s">
        <v>431</v>
      </c>
      <c r="AB1" s="14" t="s">
        <v>229</v>
      </c>
      <c r="AC1" s="14" t="s">
        <v>432</v>
      </c>
      <c r="AD1" s="14" t="s">
        <v>230</v>
      </c>
      <c r="AE1" s="14" t="s">
        <v>433</v>
      </c>
      <c r="AF1" s="14" t="s">
        <v>231</v>
      </c>
      <c r="AG1" s="14" t="s">
        <v>434</v>
      </c>
      <c r="AH1" s="14" t="s">
        <v>232</v>
      </c>
      <c r="AI1" s="14" t="s">
        <v>437</v>
      </c>
    </row>
    <row r="2" spans="1:35" x14ac:dyDescent="0.3">
      <c r="A2" s="17">
        <f t="shared" ref="A2:A7" si="0">RANK(K2,K$2:K$144,0)</f>
        <v>1</v>
      </c>
      <c r="B2" s="88">
        <v>5262</v>
      </c>
      <c r="C2" s="88" t="str">
        <f>_xlfn.XLOOKUP(__xlnm._FilterDatabase_158[[#This Row],[SAPSA Number]],Table1[SAPSA number],Table1[Paid up])</f>
        <v>Y</v>
      </c>
      <c r="D2" s="39" t="str">
        <f>_xlfn.XLOOKUP(__xlnm._FilterDatabase_158[[#This Row],[SAPSA Number]],Table1[SAPSA number],Table1[Name])</f>
        <v>Andre</v>
      </c>
      <c r="E2" s="39" t="str">
        <f>_xlfn.XLOOKUP(__xlnm._FilterDatabase_158[[#This Row],[SAPSA Number]],Table1[SAPSA number],Table1[Surname])</f>
        <v>van Rooyen</v>
      </c>
      <c r="F2" s="28" t="str">
        <f>_xlfn.XLOOKUP(__xlnm._FilterDatabase_158[[#This Row],[SAPSA Number]],Table1[SAPSA number],Table1[Initials])</f>
        <v>A</v>
      </c>
      <c r="G2" s="17" t="str">
        <f ca="1">_xlfn.XLOOKUP(__xlnm._FilterDatabase_158[[#This Row],[SAPSA Number]],Table1[SAPSA number],Table1[Gender])</f>
        <v xml:space="preserve"> </v>
      </c>
      <c r="H2" s="19" t="e">
        <f>_xlfn.XLOOKUP(__xlnm._FilterDatabase_158[[#This Row],[SAPSA Number]],#REF!,#REF!)</f>
        <v>#REF!</v>
      </c>
      <c r="I2" s="19" t="s">
        <v>241</v>
      </c>
      <c r="J2" s="21">
        <f>(IF(L2&gt;0,1,0)+(IF(__xlnm._FilterDatabase_158[[#This Row],[Jan2]]&gt;0,1,0))+(IF(__xlnm._FilterDatabase_158[[#This Row],[Feb2]]&gt;0,1,0))+(IF(N2&gt;0,1,0))+(IF(P2&gt;0,1,0))+(IF(Q2&gt;0,1,0))+(IF(R2&gt;0,1,0))+(IF(T2&gt;0,1,0))+(IF(U2&gt;0,1,0))+(IF(V2&gt;0,1,0))+(IF(X2&gt;0,1,0))+(IF(Y2&gt;0,1,0))+(IF(Z2&gt;0,1,0))+(IF(AA2&gt;0,1,0))+(IF(AB2&gt;0,1,0))+(IF(AC2&gt;0,1,0))+(IF(AD2&gt;0,1,0))+(IF(AE2&gt;0,1,0))+(IF(AF2&gt;0,1,0))+(IF(AH2&gt;0,1,0))+(IF(AG2&gt;0,1,0))+(IF(__xlnm._FilterDatabase_158[[#This Row],[Apr2]]&gt;0,1,0)+(IF(__xlnm._FilterDatabase_158[[#This Row],[Jun2]]&gt;0,1,0))))</f>
        <v>7</v>
      </c>
      <c r="K2" s="22">
        <f t="shared" ref="K2:K33" si="1">(LARGE(L2:AI2,1)+LARGE(L2:AI2,2)+LARGE(L2:AI2,3)+LARGE(L2:AI2,4)+LARGE(L2:AI2,5)+LARGE(L2:AI2,6))/6</f>
        <v>100</v>
      </c>
      <c r="L2" s="23">
        <v>100</v>
      </c>
      <c r="M2" s="23">
        <v>0</v>
      </c>
      <c r="N2" s="24">
        <v>0</v>
      </c>
      <c r="O2" s="24">
        <v>100</v>
      </c>
      <c r="P2" s="23">
        <v>100</v>
      </c>
      <c r="Q2" s="23">
        <v>0</v>
      </c>
      <c r="R2" s="24">
        <v>100</v>
      </c>
      <c r="S2" s="24">
        <v>100</v>
      </c>
      <c r="T2" s="23">
        <v>0</v>
      </c>
      <c r="U2" s="23">
        <v>0</v>
      </c>
      <c r="V2" s="24">
        <v>100</v>
      </c>
      <c r="W2" s="24">
        <v>0</v>
      </c>
      <c r="X2" s="23">
        <v>0</v>
      </c>
      <c r="Y2" s="23">
        <v>0</v>
      </c>
      <c r="Z2" s="80">
        <v>0</v>
      </c>
      <c r="AA2" s="80">
        <v>100</v>
      </c>
      <c r="AB2" s="79">
        <v>0</v>
      </c>
      <c r="AC2" s="79">
        <v>0</v>
      </c>
      <c r="AD2" s="80">
        <v>0</v>
      </c>
      <c r="AE2" s="80">
        <v>0</v>
      </c>
      <c r="AF2" s="23">
        <v>0</v>
      </c>
      <c r="AG2" s="23">
        <v>0</v>
      </c>
      <c r="AH2" s="24">
        <v>0</v>
      </c>
      <c r="AI2" s="24">
        <v>0</v>
      </c>
    </row>
    <row r="3" spans="1:35" x14ac:dyDescent="0.3">
      <c r="A3" s="17">
        <f t="shared" si="0"/>
        <v>2</v>
      </c>
      <c r="B3" s="88">
        <v>3832</v>
      </c>
      <c r="C3" s="88" t="str">
        <f>_xlfn.XLOOKUP(__xlnm._FilterDatabase_158[[#This Row],[SAPSA Number]],Table1[SAPSA number],Table1[Paid up])</f>
        <v>Y</v>
      </c>
      <c r="D3" s="39" t="str">
        <f>_xlfn.XLOOKUP(__xlnm._FilterDatabase_158[[#This Row],[SAPSA Number]],Table1[SAPSA number],Table1[Name])</f>
        <v>Dion Rowlands</v>
      </c>
      <c r="E3" s="39" t="str">
        <f>_xlfn.XLOOKUP(__xlnm._FilterDatabase_158[[#This Row],[SAPSA Number]],Table1[SAPSA number],Table1[Surname])</f>
        <v>Stead</v>
      </c>
      <c r="F3" s="28" t="str">
        <f>_xlfn.XLOOKUP(__xlnm._FilterDatabase_158[[#This Row],[SAPSA Number]],Table1[SAPSA number],Table1[Initials])</f>
        <v>DR</v>
      </c>
      <c r="G3" s="17" t="str">
        <f ca="1">_xlfn.XLOOKUP(__xlnm._FilterDatabase_158[[#This Row],[SAPSA Number]],Table1[SAPSA number],Table1[Gender])</f>
        <v>S</v>
      </c>
      <c r="H3" s="19" t="e">
        <f>_xlfn.XLOOKUP(__xlnm._FilterDatabase_158[[#This Row],[SAPSA Number]],#REF!,#REF!)</f>
        <v>#REF!</v>
      </c>
      <c r="I3" s="19" t="s">
        <v>241</v>
      </c>
      <c r="J3" s="21">
        <f>(IF(L3&gt;0,1,0)+(IF(__xlnm._FilterDatabase_158[[#This Row],[Jan2]]&gt;0,1,0))+(IF(__xlnm._FilterDatabase_158[[#This Row],[Feb2]]&gt;0,1,0))+(IF(N3&gt;0,1,0))+(IF(P3&gt;0,1,0))+(IF(Q3&gt;0,1,0))+(IF(R3&gt;0,1,0))+(IF(T3&gt;0,1,0))+(IF(U3&gt;0,1,0))+(IF(V3&gt;0,1,0))+(IF(X3&gt;0,1,0))+(IF(Y3&gt;0,1,0))+(IF(Z3&gt;0,1,0))+(IF(AA3&gt;0,1,0))+(IF(AB3&gt;0,1,0))+(IF(AC3&gt;0,1,0))+(IF(AD3&gt;0,1,0))+(IF(AE3&gt;0,1,0))+(IF(AF3&gt;0,1,0))+(IF(AH3&gt;0,1,0))+(IF(AG3&gt;0,1,0))+(IF(__xlnm._FilterDatabase_158[[#This Row],[Apr2]]&gt;0,1,0)+(IF(__xlnm._FilterDatabase_158[[#This Row],[Jun2]]&gt;0,1,0))))</f>
        <v>10</v>
      </c>
      <c r="K3" s="22">
        <f t="shared" si="1"/>
        <v>99.03991666666667</v>
      </c>
      <c r="L3" s="23">
        <v>0</v>
      </c>
      <c r="M3" s="23">
        <v>100</v>
      </c>
      <c r="N3" s="24">
        <v>0</v>
      </c>
      <c r="O3" s="24">
        <v>97.989500000000007</v>
      </c>
      <c r="P3" s="23">
        <v>92.898899999999998</v>
      </c>
      <c r="Q3" s="23">
        <v>100</v>
      </c>
      <c r="R3" s="24">
        <v>0</v>
      </c>
      <c r="S3" s="24">
        <v>86.894800000000004</v>
      </c>
      <c r="T3" s="23">
        <v>0</v>
      </c>
      <c r="U3" s="23">
        <v>100</v>
      </c>
      <c r="V3" s="24">
        <v>96.25</v>
      </c>
      <c r="W3" s="24">
        <v>0</v>
      </c>
      <c r="X3" s="23">
        <v>0</v>
      </c>
      <c r="Y3" s="23">
        <v>83.562700000000007</v>
      </c>
      <c r="Z3" s="80">
        <v>0</v>
      </c>
      <c r="AA3" s="80">
        <v>87.267499999999998</v>
      </c>
      <c r="AB3" s="79">
        <v>0</v>
      </c>
      <c r="AC3" s="79">
        <v>0</v>
      </c>
      <c r="AD3" s="80">
        <v>0</v>
      </c>
      <c r="AE3" s="80">
        <v>0</v>
      </c>
      <c r="AF3" s="23">
        <v>0</v>
      </c>
      <c r="AG3" s="23">
        <v>100</v>
      </c>
      <c r="AH3" s="24">
        <v>0</v>
      </c>
      <c r="AI3" s="24">
        <v>0</v>
      </c>
    </row>
    <row r="4" spans="1:35" x14ac:dyDescent="0.3">
      <c r="A4" s="17">
        <f t="shared" si="0"/>
        <v>3</v>
      </c>
      <c r="B4" s="88">
        <v>591</v>
      </c>
      <c r="C4" s="88" t="str">
        <f>_xlfn.XLOOKUP(__xlnm._FilterDatabase_158[[#This Row],[SAPSA Number]],Table1[SAPSA number],Table1[Paid up])</f>
        <v>Y</v>
      </c>
      <c r="D4" s="39" t="str">
        <f>_xlfn.XLOOKUP(__xlnm._FilterDatabase_158[[#This Row],[SAPSA Number]],Table1[SAPSA number],Table1[Name])</f>
        <v>Enrico</v>
      </c>
      <c r="E4" s="39" t="str">
        <f>_xlfn.XLOOKUP(__xlnm._FilterDatabase_158[[#This Row],[SAPSA Number]],Table1[SAPSA number],Table1[Surname])</f>
        <v>Cupido</v>
      </c>
      <c r="F4" s="28" t="str">
        <f>_xlfn.XLOOKUP(__xlnm._FilterDatabase_158[[#This Row],[SAPSA Number]],Table1[SAPSA number],Table1[Initials])</f>
        <v>E</v>
      </c>
      <c r="G4" s="17" t="str">
        <f ca="1">_xlfn.XLOOKUP(__xlnm._FilterDatabase_158[[#This Row],[SAPSA Number]],Table1[SAPSA number],Table1[Gender])</f>
        <v>GS</v>
      </c>
      <c r="H4" s="19" t="e">
        <f>_xlfn.XLOOKUP(__xlnm._FilterDatabase_158[[#This Row],[SAPSA Number]],#REF!,#REF!)</f>
        <v>#REF!</v>
      </c>
      <c r="I4" s="19" t="s">
        <v>241</v>
      </c>
      <c r="J4" s="21">
        <f>(IF(L4&gt;0,1,0)+(IF(__xlnm._FilterDatabase_158[[#This Row],[Jan2]]&gt;0,1,0))+(IF(__xlnm._FilterDatabase_158[[#This Row],[Feb2]]&gt;0,1,0))+(IF(N4&gt;0,1,0))+(IF(P4&gt;0,1,0))+(IF(Q4&gt;0,1,0))+(IF(R4&gt;0,1,0))+(IF(T4&gt;0,1,0))+(IF(U4&gt;0,1,0))+(IF(V4&gt;0,1,0))+(IF(X4&gt;0,1,0))+(IF(Y4&gt;0,1,0))+(IF(Z4&gt;0,1,0))+(IF(AA4&gt;0,1,0))+(IF(AB4&gt;0,1,0))+(IF(AC4&gt;0,1,0))+(IF(AD4&gt;0,1,0))+(IF(AE4&gt;0,1,0))+(IF(AF4&gt;0,1,0))+(IF(AH4&gt;0,1,0))+(IF(AG4&gt;0,1,0))+(IF(__xlnm._FilterDatabase_158[[#This Row],[Apr2]]&gt;0,1,0)+(IF(__xlnm._FilterDatabase_158[[#This Row],[Jun2]]&gt;0,1,0))))</f>
        <v>12</v>
      </c>
      <c r="K4" s="22">
        <f t="shared" si="1"/>
        <v>91.585516666666663</v>
      </c>
      <c r="L4" s="23">
        <v>0</v>
      </c>
      <c r="M4" s="23">
        <v>0</v>
      </c>
      <c r="N4" s="24">
        <v>100</v>
      </c>
      <c r="O4" s="24">
        <v>50.497700000000002</v>
      </c>
      <c r="P4" s="23">
        <v>59.944800000000001</v>
      </c>
      <c r="Q4" s="23">
        <v>0</v>
      </c>
      <c r="R4" s="24">
        <v>63.433399999999999</v>
      </c>
      <c r="S4" s="24">
        <v>41.3521</v>
      </c>
      <c r="T4" s="23">
        <v>0</v>
      </c>
      <c r="U4" s="23">
        <v>49.333500000000001</v>
      </c>
      <c r="V4" s="24">
        <v>66.751199999999997</v>
      </c>
      <c r="W4" s="24">
        <v>0</v>
      </c>
      <c r="X4" s="23">
        <v>0</v>
      </c>
      <c r="Y4" s="23">
        <v>0</v>
      </c>
      <c r="Z4" s="80">
        <v>80.213099999999997</v>
      </c>
      <c r="AA4" s="80">
        <v>57.551299999999998</v>
      </c>
      <c r="AB4" s="79">
        <v>100</v>
      </c>
      <c r="AC4" s="79">
        <v>0</v>
      </c>
      <c r="AD4" s="80">
        <v>100</v>
      </c>
      <c r="AE4" s="80">
        <v>0</v>
      </c>
      <c r="AF4" s="23">
        <v>0</v>
      </c>
      <c r="AG4" s="23">
        <v>0</v>
      </c>
      <c r="AH4" s="24">
        <v>83</v>
      </c>
      <c r="AI4" s="24">
        <v>86.3</v>
      </c>
    </row>
    <row r="5" spans="1:35" x14ac:dyDescent="0.3">
      <c r="A5" s="17">
        <f t="shared" si="0"/>
        <v>4</v>
      </c>
      <c r="B5" s="18">
        <v>601</v>
      </c>
      <c r="C5" s="88" t="str">
        <f>_xlfn.XLOOKUP(__xlnm._FilterDatabase_158[[#This Row],[SAPSA Number]],Table1[SAPSA number],Table1[Paid up])</f>
        <v>Y</v>
      </c>
      <c r="D5" s="39" t="str">
        <f>_xlfn.XLOOKUP(__xlnm._FilterDatabase_158[[#This Row],[SAPSA Number]],Table1[SAPSA number],Table1[Name])</f>
        <v>Piero</v>
      </c>
      <c r="E5" s="39" t="str">
        <f>_xlfn.XLOOKUP(__xlnm._FilterDatabase_158[[#This Row],[SAPSA Number]],Table1[SAPSA number],Table1[Surname])</f>
        <v>Cupido</v>
      </c>
      <c r="F5" s="28" t="str">
        <f>_xlfn.XLOOKUP(__xlnm._FilterDatabase_158[[#This Row],[SAPSA Number]],Table1[SAPSA number],Table1[Initials])</f>
        <v>P</v>
      </c>
      <c r="G5" s="17" t="str">
        <f ca="1">_xlfn.XLOOKUP(__xlnm._FilterDatabase_158[[#This Row],[SAPSA Number]],Table1[SAPSA number],Table1[Gender])</f>
        <v xml:space="preserve"> </v>
      </c>
      <c r="H5" s="19" t="e">
        <f>_xlfn.XLOOKUP(__xlnm._FilterDatabase_158[[#This Row],[SAPSA Number]],#REF!,#REF!)</f>
        <v>#REF!</v>
      </c>
      <c r="I5" s="19" t="s">
        <v>241</v>
      </c>
      <c r="J5" s="21">
        <f>(IF(L5&gt;0,1,0)+(IF(__xlnm._FilterDatabase_158[[#This Row],[Jan2]]&gt;0,1,0))+(IF(__xlnm._FilterDatabase_158[[#This Row],[Feb2]]&gt;0,1,0))+(IF(N5&gt;0,1,0))+(IF(P5&gt;0,1,0))+(IF(Q5&gt;0,1,0))+(IF(R5&gt;0,1,0))+(IF(T5&gt;0,1,0))+(IF(U5&gt;0,1,0))+(IF(V5&gt;0,1,0))+(IF(X5&gt;0,1,0))+(IF(Y5&gt;0,1,0))+(IF(Z5&gt;0,1,0))+(IF(AA5&gt;0,1,0))+(IF(AB5&gt;0,1,0))+(IF(AC5&gt;0,1,0))+(IF(AD5&gt;0,1,0))+(IF(AE5&gt;0,1,0))+(IF(AF5&gt;0,1,0))+(IF(AH5&gt;0,1,0))+(IF(AG5&gt;0,1,0))+(IF(__xlnm._FilterDatabase_158[[#This Row],[Apr2]]&gt;0,1,0)+(IF(__xlnm._FilterDatabase_158[[#This Row],[Jun2]]&gt;0,1,0))))</f>
        <v>6</v>
      </c>
      <c r="K5" s="22">
        <f t="shared" si="1"/>
        <v>88.159366666666685</v>
      </c>
      <c r="L5" s="23">
        <v>0</v>
      </c>
      <c r="M5" s="23">
        <v>0</v>
      </c>
      <c r="N5" s="24">
        <v>0</v>
      </c>
      <c r="O5" s="24">
        <v>80.348200000000006</v>
      </c>
      <c r="P5" s="23">
        <v>0</v>
      </c>
      <c r="Q5" s="23">
        <v>0</v>
      </c>
      <c r="R5" s="24">
        <v>80.628500000000003</v>
      </c>
      <c r="S5" s="24">
        <v>77.724599999999995</v>
      </c>
      <c r="T5" s="23">
        <v>0</v>
      </c>
      <c r="U5" s="23">
        <v>67.002600000000001</v>
      </c>
      <c r="V5" s="24">
        <v>90.254900000000006</v>
      </c>
      <c r="W5" s="24">
        <v>0</v>
      </c>
      <c r="X5" s="23">
        <v>0</v>
      </c>
      <c r="Y5" s="23">
        <v>0</v>
      </c>
      <c r="Z5" s="80">
        <v>100</v>
      </c>
      <c r="AA5" s="80">
        <v>0</v>
      </c>
      <c r="AB5" s="79">
        <v>0</v>
      </c>
      <c r="AC5" s="79">
        <v>0</v>
      </c>
      <c r="AD5" s="80">
        <v>0</v>
      </c>
      <c r="AE5" s="80">
        <v>0</v>
      </c>
      <c r="AF5" s="23">
        <v>0</v>
      </c>
      <c r="AG5" s="23">
        <v>0</v>
      </c>
      <c r="AH5" s="24">
        <v>0</v>
      </c>
      <c r="AI5" s="24">
        <v>100</v>
      </c>
    </row>
    <row r="6" spans="1:35" x14ac:dyDescent="0.3">
      <c r="A6" s="17">
        <f t="shared" si="0"/>
        <v>5</v>
      </c>
      <c r="B6" s="88">
        <v>4316</v>
      </c>
      <c r="C6" s="88" t="str">
        <f>_xlfn.XLOOKUP(__xlnm._FilterDatabase_158[[#This Row],[SAPSA Number]],Table1[SAPSA number],Table1[Paid up])</f>
        <v>Y</v>
      </c>
      <c r="D6" s="39" t="str">
        <f>_xlfn.XLOOKUP(__xlnm._FilterDatabase_158[[#This Row],[SAPSA Number]],Table1[SAPSA number],Table1[Name])</f>
        <v>Wilhelm Jacobus</v>
      </c>
      <c r="E6" s="39" t="str">
        <f>_xlfn.XLOOKUP(__xlnm._FilterDatabase_158[[#This Row],[SAPSA Number]],Table1[SAPSA number],Table1[Surname])</f>
        <v>Coetzee</v>
      </c>
      <c r="F6" s="28" t="str">
        <f>_xlfn.XLOOKUP(__xlnm._FilterDatabase_158[[#This Row],[SAPSA Number]],Table1[SAPSA number],Table1[Initials])</f>
        <v>WJ</v>
      </c>
      <c r="G6" s="17" t="str">
        <f ca="1">_xlfn.XLOOKUP(__xlnm._FilterDatabase_158[[#This Row],[SAPSA Number]],Table1[SAPSA number],Table1[Gender])</f>
        <v>S</v>
      </c>
      <c r="H6" s="19" t="e">
        <f>_xlfn.XLOOKUP(__xlnm._FilterDatabase_158[[#This Row],[SAPSA Number]],#REF!,#REF!)</f>
        <v>#REF!</v>
      </c>
      <c r="I6" s="19" t="s">
        <v>241</v>
      </c>
      <c r="J6" s="21">
        <f>(IF(L6&gt;0,1,0)+(IF(__xlnm._FilterDatabase_158[[#This Row],[Jan2]]&gt;0,1,0))+(IF(__xlnm._FilterDatabase_158[[#This Row],[Feb2]]&gt;0,1,0))+(IF(N6&gt;0,1,0))+(IF(P6&gt;0,1,0))+(IF(Q6&gt;0,1,0))+(IF(R6&gt;0,1,0))+(IF(T6&gt;0,1,0))+(IF(U6&gt;0,1,0))+(IF(V6&gt;0,1,0))+(IF(X6&gt;0,1,0))+(IF(Y6&gt;0,1,0))+(IF(Z6&gt;0,1,0))+(IF(AA6&gt;0,1,0))+(IF(AB6&gt;0,1,0))+(IF(AC6&gt;0,1,0))+(IF(AD6&gt;0,1,0))+(IF(AE6&gt;0,1,0))+(IF(AF6&gt;0,1,0))+(IF(AH6&gt;0,1,0))+(IF(AG6&gt;0,1,0))+(IF(__xlnm._FilterDatabase_158[[#This Row],[Apr2]]&gt;0,1,0)+(IF(__xlnm._FilterDatabase_158[[#This Row],[Jun2]]&gt;0,1,0))))</f>
        <v>7</v>
      </c>
      <c r="K6" s="22">
        <f t="shared" si="1"/>
        <v>79.594899999999996</v>
      </c>
      <c r="L6" s="23">
        <v>61.45</v>
      </c>
      <c r="M6" s="23">
        <v>0</v>
      </c>
      <c r="N6" s="24">
        <v>93.477699999999999</v>
      </c>
      <c r="O6" s="24">
        <v>0</v>
      </c>
      <c r="P6" s="23">
        <v>67.396900000000002</v>
      </c>
      <c r="Q6" s="23">
        <v>0</v>
      </c>
      <c r="R6" s="24">
        <v>0</v>
      </c>
      <c r="S6" s="24">
        <v>58.765500000000003</v>
      </c>
      <c r="T6" s="23">
        <v>0</v>
      </c>
      <c r="U6" s="23">
        <v>0</v>
      </c>
      <c r="V6" s="24">
        <v>0</v>
      </c>
      <c r="W6" s="24">
        <v>0</v>
      </c>
      <c r="X6" s="23">
        <v>100</v>
      </c>
      <c r="Y6" s="23">
        <v>0</v>
      </c>
      <c r="Z6" s="80">
        <v>0</v>
      </c>
      <c r="AA6" s="80">
        <v>52.927199999999999</v>
      </c>
      <c r="AB6" s="79">
        <v>0</v>
      </c>
      <c r="AC6" s="79">
        <v>0</v>
      </c>
      <c r="AD6" s="80">
        <v>0</v>
      </c>
      <c r="AE6" s="80">
        <v>96.479299999999995</v>
      </c>
      <c r="AF6" s="23">
        <v>0</v>
      </c>
      <c r="AG6" s="23">
        <v>0</v>
      </c>
      <c r="AH6" s="24">
        <v>0</v>
      </c>
      <c r="AI6" s="24">
        <v>0</v>
      </c>
    </row>
    <row r="7" spans="1:35" x14ac:dyDescent="0.3">
      <c r="A7" s="17">
        <f t="shared" si="0"/>
        <v>6</v>
      </c>
      <c r="B7" s="88">
        <v>1716</v>
      </c>
      <c r="C7" s="88" t="str">
        <f>_xlfn.XLOOKUP(__xlnm._FilterDatabase_158[[#This Row],[SAPSA Number]],Table1[SAPSA number],Table1[Paid up])</f>
        <v>Y</v>
      </c>
      <c r="D7" s="39" t="str">
        <f>_xlfn.XLOOKUP(__xlnm._FilterDatabase_158[[#This Row],[SAPSA Number]],Table1[SAPSA number],Table1[Name])</f>
        <v>Albert</v>
      </c>
      <c r="E7" s="39" t="str">
        <f>_xlfn.XLOOKUP(__xlnm._FilterDatabase_158[[#This Row],[SAPSA Number]],Table1[SAPSA number],Table1[Surname])</f>
        <v>Wöcke</v>
      </c>
      <c r="F7" s="28" t="str">
        <f>_xlfn.XLOOKUP(__xlnm._FilterDatabase_158[[#This Row],[SAPSA Number]],Table1[SAPSA number],Table1[Initials])</f>
        <v>A</v>
      </c>
      <c r="G7" s="17" t="str">
        <f ca="1">_xlfn.XLOOKUP(__xlnm._FilterDatabase_158[[#This Row],[SAPSA Number]],Table1[SAPSA number],Table1[Gender])</f>
        <v>S</v>
      </c>
      <c r="H7" s="19" t="e">
        <f>_xlfn.XLOOKUP(__xlnm._FilterDatabase_158[[#This Row],[SAPSA Number]],#REF!,#REF!)</f>
        <v>#REF!</v>
      </c>
      <c r="I7" s="19" t="s">
        <v>241</v>
      </c>
      <c r="J7" s="21">
        <f>(IF(L7&gt;0,1,0)+(IF(__xlnm._FilterDatabase_158[[#This Row],[Jan2]]&gt;0,1,0))+(IF(__xlnm._FilterDatabase_158[[#This Row],[Feb2]]&gt;0,1,0))+(IF(N7&gt;0,1,0))+(IF(P7&gt;0,1,0))+(IF(Q7&gt;0,1,0))+(IF(R7&gt;0,1,0))+(IF(T7&gt;0,1,0))+(IF(U7&gt;0,1,0))+(IF(V7&gt;0,1,0))+(IF(X7&gt;0,1,0))+(IF(Y7&gt;0,1,0))+(IF(Z7&gt;0,1,0))+(IF(AA7&gt;0,1,0))+(IF(AB7&gt;0,1,0))+(IF(AC7&gt;0,1,0))+(IF(AD7&gt;0,1,0))+(IF(AE7&gt;0,1,0))+(IF(AF7&gt;0,1,0))+(IF(AH7&gt;0,1,0))+(IF(AG7&gt;0,1,0))+(IF(__xlnm._FilterDatabase_158[[#This Row],[Apr2]]&gt;0,1,0)+(IF(__xlnm._FilterDatabase_158[[#This Row],[Jun2]]&gt;0,1,0))))</f>
        <v>9</v>
      </c>
      <c r="K7" s="22">
        <f t="shared" si="1"/>
        <v>77.807999999999993</v>
      </c>
      <c r="L7" s="23">
        <v>1E-4</v>
      </c>
      <c r="M7" s="23">
        <v>0</v>
      </c>
      <c r="N7" s="24">
        <v>96.447900000000004</v>
      </c>
      <c r="O7" s="24">
        <v>42.259700000000002</v>
      </c>
      <c r="P7" s="23">
        <v>65.676299999999998</v>
      </c>
      <c r="Q7" s="23">
        <v>52.603400000000001</v>
      </c>
      <c r="R7" s="24">
        <v>61.047600000000003</v>
      </c>
      <c r="S7" s="24">
        <v>55.676200000000001</v>
      </c>
      <c r="T7" s="23">
        <v>0</v>
      </c>
      <c r="U7" s="23">
        <v>0</v>
      </c>
      <c r="V7" s="24">
        <v>0</v>
      </c>
      <c r="W7" s="24">
        <v>0</v>
      </c>
      <c r="X7" s="23">
        <v>0</v>
      </c>
      <c r="Y7" s="23">
        <v>0</v>
      </c>
      <c r="Z7" s="80">
        <v>0</v>
      </c>
      <c r="AA7" s="80">
        <v>0</v>
      </c>
      <c r="AB7" s="79">
        <v>0</v>
      </c>
      <c r="AC7" s="79">
        <v>0</v>
      </c>
      <c r="AD7" s="80">
        <v>0</v>
      </c>
      <c r="AE7" s="80">
        <v>100</v>
      </c>
      <c r="AF7" s="23">
        <v>0</v>
      </c>
      <c r="AG7" s="23">
        <v>0</v>
      </c>
      <c r="AH7" s="24">
        <v>88</v>
      </c>
      <c r="AI7" s="24">
        <v>0</v>
      </c>
    </row>
    <row r="8" spans="1:35" x14ac:dyDescent="0.3">
      <c r="A8" s="17">
        <f>RANK(K8,K$2:K$163,0)</f>
        <v>8</v>
      </c>
      <c r="B8" s="87">
        <v>4621</v>
      </c>
      <c r="C8" s="88">
        <f>_xlfn.XLOOKUP(__xlnm._FilterDatabase_158[[#This Row],[SAPSA Number]],Table1[SAPSA number],Table1[Paid up])</f>
        <v>0</v>
      </c>
      <c r="D8" s="39" t="str">
        <f>_xlfn.XLOOKUP(__xlnm._FilterDatabase_158[[#This Row],[SAPSA Number]],Table1[SAPSA number],Table1[Name])</f>
        <v>Colin</v>
      </c>
      <c r="E8" s="39" t="str">
        <f>_xlfn.XLOOKUP(__xlnm._FilterDatabase_158[[#This Row],[SAPSA Number]],Table1[SAPSA number],Table1[Surname])</f>
        <v>Bowring</v>
      </c>
      <c r="F8" s="28" t="str">
        <f>_xlfn.XLOOKUP(__xlnm._FilterDatabase_158[[#This Row],[SAPSA Number]],Table1[SAPSA number],Table1[Initials])</f>
        <v>C</v>
      </c>
      <c r="G8" s="17" t="str">
        <f ca="1">_xlfn.XLOOKUP(__xlnm._FilterDatabase_158[[#This Row],[SAPSA Number]],Table1[SAPSA number],Table1[Gender])</f>
        <v>SS</v>
      </c>
      <c r="H8" s="19" t="e">
        <f>_xlfn.XLOOKUP(__xlnm._FilterDatabase_158[[#This Row],[SAPSA Number]],#REF!,#REF!)</f>
        <v>#REF!</v>
      </c>
      <c r="I8" s="19" t="s">
        <v>241</v>
      </c>
      <c r="J8" s="21">
        <f>(IF(L8&gt;0,1,0)+(IF(__xlnm._FilterDatabase_158[[#This Row],[Jan2]]&gt;0,1,0))+(IF(__xlnm._FilterDatabase_158[[#This Row],[Feb2]]&gt;0,1,0))+(IF(N8&gt;0,1,0))+(IF(P8&gt;0,1,0))+(IF(Q8&gt;0,1,0))+(IF(R8&gt;0,1,0))+(IF(T8&gt;0,1,0))+(IF(U8&gt;0,1,0))+(IF(V8&gt;0,1,0))+(IF(X8&gt;0,1,0))+(IF(Y8&gt;0,1,0))+(IF(Z8&gt;0,1,0))+(IF(AA8&gt;0,1,0))+(IF(AB8&gt;0,1,0))+(IF(AC8&gt;0,1,0))+(IF(AD8&gt;0,1,0))+(IF(AE8&gt;0,1,0))+(IF(AF8&gt;0,1,0))+(IF(AH8&gt;0,1,0))+(IF(AG8&gt;0,1,0))+(IF(__xlnm._FilterDatabase_158[[#This Row],[Apr2]]&gt;0,1,0)+(IF(__xlnm._FilterDatabase_158[[#This Row],[Jun2]]&gt;0,1,0))))</f>
        <v>7</v>
      </c>
      <c r="K8" s="22">
        <f t="shared" si="1"/>
        <v>62.398799999999994</v>
      </c>
      <c r="L8" s="23">
        <v>0</v>
      </c>
      <c r="M8" s="23">
        <v>0</v>
      </c>
      <c r="N8" s="24">
        <v>85.5625</v>
      </c>
      <c r="O8" s="24">
        <v>0</v>
      </c>
      <c r="P8" s="23">
        <v>81.14</v>
      </c>
      <c r="Q8" s="23">
        <v>50.0792</v>
      </c>
      <c r="R8" s="24">
        <v>0</v>
      </c>
      <c r="S8" s="24">
        <v>0</v>
      </c>
      <c r="T8" s="23">
        <v>0</v>
      </c>
      <c r="U8" s="23">
        <v>0</v>
      </c>
      <c r="V8" s="24">
        <v>0</v>
      </c>
      <c r="W8" s="24">
        <v>0</v>
      </c>
      <c r="X8" s="23">
        <v>0</v>
      </c>
      <c r="Y8" s="23">
        <v>46.153100000000002</v>
      </c>
      <c r="Z8" s="80">
        <v>0</v>
      </c>
      <c r="AA8" s="80">
        <v>0</v>
      </c>
      <c r="AB8" s="79">
        <v>0</v>
      </c>
      <c r="AC8" s="79">
        <v>0</v>
      </c>
      <c r="AD8" s="80">
        <v>54.525599999999997</v>
      </c>
      <c r="AE8" s="80">
        <v>56.932400000000001</v>
      </c>
      <c r="AF8" s="23">
        <v>0</v>
      </c>
      <c r="AG8" s="23">
        <v>17.616099999999999</v>
      </c>
      <c r="AH8" s="24">
        <v>0</v>
      </c>
      <c r="AI8" s="24">
        <v>0</v>
      </c>
    </row>
    <row r="9" spans="1:35" x14ac:dyDescent="0.3">
      <c r="A9" s="17">
        <f t="shared" ref="A9:A40" si="2">RANK(K9,K$2:K$144,0)</f>
        <v>7</v>
      </c>
      <c r="B9" s="89">
        <v>6633</v>
      </c>
      <c r="C9" s="88">
        <f>_xlfn.XLOOKUP(__xlnm._FilterDatabase_158[[#This Row],[SAPSA Number]],Table1[SAPSA number],Table1[Paid up])</f>
        <v>0</v>
      </c>
      <c r="D9" s="39" t="str">
        <f>_xlfn.XLOOKUP(__xlnm._FilterDatabase_158[[#This Row],[SAPSA Number]],Table1[SAPSA number],Table1[Name])</f>
        <v>Allessandro Raffaele</v>
      </c>
      <c r="E9" s="39" t="str">
        <f>_xlfn.XLOOKUP(__xlnm._FilterDatabase_158[[#This Row],[SAPSA Number]],Table1[SAPSA number],Table1[Surname])</f>
        <v>Paschini</v>
      </c>
      <c r="F9" s="28" t="str">
        <f>_xlfn.XLOOKUP(__xlnm._FilterDatabase_158[[#This Row],[SAPSA Number]],Table1[SAPSA number],Table1[Initials])</f>
        <v>AR</v>
      </c>
      <c r="G9" s="17" t="str">
        <f ca="1">_xlfn.XLOOKUP(__xlnm._FilterDatabase_158[[#This Row],[SAPSA Number]],Table1[SAPSA number],Table1[Gender])</f>
        <v xml:space="preserve"> </v>
      </c>
      <c r="H9" s="19" t="e">
        <f>_xlfn.XLOOKUP(__xlnm._FilterDatabase_158[[#This Row],[SAPSA Number]],#REF!,#REF!)</f>
        <v>#REF!</v>
      </c>
      <c r="I9" s="19" t="s">
        <v>241</v>
      </c>
      <c r="J9" s="21">
        <f>(IF(L9&gt;0,1,0)+(IF(__xlnm._FilterDatabase_158[[#This Row],[Jan2]]&gt;0,1,0))+(IF(__xlnm._FilterDatabase_158[[#This Row],[Feb2]]&gt;0,1,0))+(IF(N9&gt;0,1,0))+(IF(P9&gt;0,1,0))+(IF(Q9&gt;0,1,0))+(IF(R9&gt;0,1,0))+(IF(T9&gt;0,1,0))+(IF(U9&gt;0,1,0))+(IF(V9&gt;0,1,0))+(IF(X9&gt;0,1,0))+(IF(Y9&gt;0,1,0))+(IF(Z9&gt;0,1,0))+(IF(AA9&gt;0,1,0))+(IF(AB9&gt;0,1,0))+(IF(AC9&gt;0,1,0))+(IF(AD9&gt;0,1,0))+(IF(AE9&gt;0,1,0))+(IF(AF9&gt;0,1,0))+(IF(AH9&gt;0,1,0))+(IF(AG9&gt;0,1,0))+(IF(__xlnm._FilterDatabase_158[[#This Row],[Apr2]]&gt;0,1,0)+(IF(__xlnm._FilterDatabase_158[[#This Row],[Jun2]]&gt;0,1,0))))</f>
        <v>6</v>
      </c>
      <c r="K9" s="22">
        <f t="shared" si="1"/>
        <v>65.249283333333338</v>
      </c>
      <c r="L9" s="23">
        <v>0</v>
      </c>
      <c r="M9" s="23">
        <v>0</v>
      </c>
      <c r="N9" s="24">
        <v>0</v>
      </c>
      <c r="O9" s="24">
        <v>0</v>
      </c>
      <c r="P9" s="23">
        <v>0</v>
      </c>
      <c r="Q9" s="23">
        <v>56.258299999999998</v>
      </c>
      <c r="R9" s="24">
        <v>78.108400000000003</v>
      </c>
      <c r="S9" s="24">
        <v>48.867699999999999</v>
      </c>
      <c r="T9" s="23">
        <v>0</v>
      </c>
      <c r="U9" s="23">
        <v>62.386899999999997</v>
      </c>
      <c r="V9" s="24">
        <v>0</v>
      </c>
      <c r="W9" s="24">
        <v>0</v>
      </c>
      <c r="X9" s="23">
        <v>0</v>
      </c>
      <c r="Y9" s="23">
        <v>65.874399999999994</v>
      </c>
      <c r="Z9" s="80">
        <v>0</v>
      </c>
      <c r="AA9" s="80">
        <v>0</v>
      </c>
      <c r="AB9" s="79">
        <v>0</v>
      </c>
      <c r="AC9" s="79">
        <v>0</v>
      </c>
      <c r="AD9" s="80">
        <v>0</v>
      </c>
      <c r="AE9" s="80">
        <v>0</v>
      </c>
      <c r="AF9" s="23">
        <v>0</v>
      </c>
      <c r="AG9" s="23">
        <v>0</v>
      </c>
      <c r="AH9" s="24">
        <v>80</v>
      </c>
      <c r="AI9" s="24">
        <v>0</v>
      </c>
    </row>
    <row r="10" spans="1:35" x14ac:dyDescent="0.3">
      <c r="A10" s="17">
        <f t="shared" si="2"/>
        <v>9</v>
      </c>
      <c r="B10" s="88">
        <v>250</v>
      </c>
      <c r="C10" s="88">
        <f>_xlfn.XLOOKUP(__xlnm._FilterDatabase_158[[#This Row],[SAPSA Number]],Table1[SAPSA number],Table1[Paid up])</f>
        <v>0</v>
      </c>
      <c r="D10" s="39" t="str">
        <f>_xlfn.XLOOKUP(__xlnm._FilterDatabase_158[[#This Row],[SAPSA Number]],Table1[SAPSA number],Table1[Name])</f>
        <v>Adriano Walter</v>
      </c>
      <c r="E10" s="39" t="str">
        <f>_xlfn.XLOOKUP(__xlnm._FilterDatabase_158[[#This Row],[SAPSA Number]],Table1[SAPSA number],Table1[Surname])</f>
        <v>Paschini</v>
      </c>
      <c r="F10" s="28" t="str">
        <f>_xlfn.XLOOKUP(__xlnm._FilterDatabase_158[[#This Row],[SAPSA Number]],Table1[SAPSA number],Table1[Initials])</f>
        <v>AW</v>
      </c>
      <c r="G10" s="17" t="str">
        <f ca="1">_xlfn.XLOOKUP(__xlnm._FilterDatabase_158[[#This Row],[SAPSA Number]],Table1[SAPSA number],Table1[Gender])</f>
        <v>SS</v>
      </c>
      <c r="H10" s="19" t="e">
        <f>_xlfn.XLOOKUP(__xlnm._FilterDatabase_158[[#This Row],[SAPSA Number]],#REF!,#REF!)</f>
        <v>#REF!</v>
      </c>
      <c r="I10" s="19" t="s">
        <v>241</v>
      </c>
      <c r="J10" s="21">
        <f>(IF(L10&gt;0,1,0)+(IF(__xlnm._FilterDatabase_158[[#This Row],[Jan2]]&gt;0,1,0))+(IF(__xlnm._FilterDatabase_158[[#This Row],[Feb2]]&gt;0,1,0))+(IF(N10&gt;0,1,0))+(IF(P10&gt;0,1,0))+(IF(Q10&gt;0,1,0))+(IF(R10&gt;0,1,0))+(IF(T10&gt;0,1,0))+(IF(U10&gt;0,1,0))+(IF(V10&gt;0,1,0))+(IF(X10&gt;0,1,0))+(IF(Y10&gt;0,1,0))+(IF(Z10&gt;0,1,0))+(IF(AA10&gt;0,1,0))+(IF(AB10&gt;0,1,0))+(IF(AC10&gt;0,1,0))+(IF(AD10&gt;0,1,0))+(IF(AE10&gt;0,1,0))+(IF(AF10&gt;0,1,0))+(IF(AH10&gt;0,1,0))+(IF(AG10&gt;0,1,0))+(IF(__xlnm._FilterDatabase_158[[#This Row],[Apr2]]&gt;0,1,0)+(IF(__xlnm._FilterDatabase_158[[#This Row],[Jun2]]&gt;0,1,0))))</f>
        <v>6</v>
      </c>
      <c r="K10" s="22">
        <f t="shared" si="1"/>
        <v>52.591649999999994</v>
      </c>
      <c r="L10" s="23">
        <v>0</v>
      </c>
      <c r="M10" s="23">
        <v>0</v>
      </c>
      <c r="N10" s="24">
        <v>0</v>
      </c>
      <c r="O10" s="24">
        <v>22.0367</v>
      </c>
      <c r="P10" s="23">
        <v>0</v>
      </c>
      <c r="Q10" s="23">
        <v>0</v>
      </c>
      <c r="R10" s="24">
        <v>60.807299999999998</v>
      </c>
      <c r="S10" s="24">
        <v>47.997300000000003</v>
      </c>
      <c r="T10" s="23">
        <v>0</v>
      </c>
      <c r="U10" s="23">
        <v>58.780500000000004</v>
      </c>
      <c r="V10" s="24">
        <v>0</v>
      </c>
      <c r="W10" s="24">
        <v>0</v>
      </c>
      <c r="X10" s="23">
        <v>0</v>
      </c>
      <c r="Y10" s="23">
        <v>62.928100000000001</v>
      </c>
      <c r="Z10" s="80">
        <v>0</v>
      </c>
      <c r="AA10" s="80">
        <v>0</v>
      </c>
      <c r="AB10" s="79">
        <v>0</v>
      </c>
      <c r="AC10" s="79">
        <v>0</v>
      </c>
      <c r="AD10" s="80">
        <v>0</v>
      </c>
      <c r="AE10" s="80">
        <v>0</v>
      </c>
      <c r="AF10" s="23">
        <v>0</v>
      </c>
      <c r="AG10" s="23">
        <v>0</v>
      </c>
      <c r="AH10" s="24">
        <v>63</v>
      </c>
      <c r="AI10" s="24">
        <v>0</v>
      </c>
    </row>
    <row r="11" spans="1:35" x14ac:dyDescent="0.3">
      <c r="A11" s="17">
        <f t="shared" si="2"/>
        <v>11</v>
      </c>
      <c r="B11" s="88">
        <v>5971</v>
      </c>
      <c r="C11" s="88">
        <f>_xlfn.XLOOKUP(__xlnm._FilterDatabase_158[[#This Row],[SAPSA Number]],Table1[SAPSA number],Table1[Paid up])</f>
        <v>0</v>
      </c>
      <c r="D11" s="39" t="str">
        <f>_xlfn.XLOOKUP(__xlnm._FilterDatabase_158[[#This Row],[SAPSA Number]],Table1[SAPSA number],Table1[Name])</f>
        <v>Hendrik</v>
      </c>
      <c r="E11" s="39" t="str">
        <f>_xlfn.XLOOKUP(__xlnm._FilterDatabase_158[[#This Row],[SAPSA Number]],Table1[SAPSA number],Table1[Surname])</f>
        <v>van Rooyen</v>
      </c>
      <c r="F11" s="28" t="str">
        <f>_xlfn.XLOOKUP(__xlnm._FilterDatabase_158[[#This Row],[SAPSA Number]],Table1[SAPSA number],Table1[Initials])</f>
        <v>H</v>
      </c>
      <c r="G11" s="17" t="str">
        <f ca="1">_xlfn.XLOOKUP(__xlnm._FilterDatabase_158[[#This Row],[SAPSA Number]],Table1[SAPSA number],Table1[Gender])</f>
        <v>S</v>
      </c>
      <c r="H11" s="19" t="e">
        <f>_xlfn.XLOOKUP(__xlnm._FilterDatabase_158[[#This Row],[SAPSA Number]],#REF!,#REF!)</f>
        <v>#REF!</v>
      </c>
      <c r="I11" s="19" t="s">
        <v>241</v>
      </c>
      <c r="J11" s="21">
        <f>(IF(L11&gt;0,1,0)+(IF(__xlnm._FilterDatabase_158[[#This Row],[Jan2]]&gt;0,1,0))+(IF(__xlnm._FilterDatabase_158[[#This Row],[Feb2]]&gt;0,1,0))+(IF(N11&gt;0,1,0))+(IF(P11&gt;0,1,0))+(IF(Q11&gt;0,1,0))+(IF(R11&gt;0,1,0))+(IF(T11&gt;0,1,0))+(IF(U11&gt;0,1,0))+(IF(V11&gt;0,1,0))+(IF(X11&gt;0,1,0))+(IF(Y11&gt;0,1,0))+(IF(Z11&gt;0,1,0))+(IF(AA11&gt;0,1,0))+(IF(AB11&gt;0,1,0))+(IF(AC11&gt;0,1,0))+(IF(AD11&gt;0,1,0))+(IF(AE11&gt;0,1,0))+(IF(AF11&gt;0,1,0))+(IF(AH11&gt;0,1,0))+(IF(AG11&gt;0,1,0))+(IF(__xlnm._FilterDatabase_158[[#This Row],[Apr2]]&gt;0,1,0)+(IF(__xlnm._FilterDatabase_158[[#This Row],[Jun2]]&gt;0,1,0))))</f>
        <v>2</v>
      </c>
      <c r="K11" s="106">
        <f t="shared" si="1"/>
        <v>28.507749999999998</v>
      </c>
      <c r="L11" s="23">
        <v>0</v>
      </c>
      <c r="M11" s="23">
        <v>0</v>
      </c>
      <c r="N11" s="24">
        <v>0</v>
      </c>
      <c r="O11" s="24">
        <v>0</v>
      </c>
      <c r="P11" s="23">
        <v>0</v>
      </c>
      <c r="Q11" s="23">
        <v>0</v>
      </c>
      <c r="R11" s="24">
        <v>99.050899999999999</v>
      </c>
      <c r="S11" s="24">
        <v>71.995599999999996</v>
      </c>
      <c r="T11" s="23">
        <v>0</v>
      </c>
      <c r="U11" s="23">
        <v>0</v>
      </c>
      <c r="V11" s="24">
        <v>0</v>
      </c>
      <c r="W11" s="24">
        <v>0</v>
      </c>
      <c r="X11" s="23">
        <v>0</v>
      </c>
      <c r="Y11" s="23">
        <v>0</v>
      </c>
      <c r="Z11" s="80">
        <v>0</v>
      </c>
      <c r="AA11" s="80">
        <v>0</v>
      </c>
      <c r="AB11" s="79">
        <v>0</v>
      </c>
      <c r="AC11" s="79">
        <v>0</v>
      </c>
      <c r="AD11" s="80">
        <v>0</v>
      </c>
      <c r="AE11" s="80">
        <v>0</v>
      </c>
      <c r="AF11" s="23">
        <v>0</v>
      </c>
      <c r="AG11" s="23">
        <v>0</v>
      </c>
      <c r="AH11" s="24">
        <v>0</v>
      </c>
      <c r="AI11" s="24">
        <v>0</v>
      </c>
    </row>
    <row r="12" spans="1:35" x14ac:dyDescent="0.3">
      <c r="A12" s="17">
        <f t="shared" si="2"/>
        <v>12</v>
      </c>
      <c r="B12" s="88">
        <v>3822</v>
      </c>
      <c r="C12" s="88" t="str">
        <f>_xlfn.XLOOKUP(__xlnm._FilterDatabase_158[[#This Row],[SAPSA Number]],Table1[SAPSA number],Table1[Paid up])</f>
        <v>Y</v>
      </c>
      <c r="D12" s="39" t="str">
        <f>_xlfn.XLOOKUP(__xlnm._FilterDatabase_158[[#This Row],[SAPSA Number]],Table1[SAPSA number],Table1[Name])</f>
        <v>Wayne Erald</v>
      </c>
      <c r="E12" s="39" t="str">
        <f>_xlfn.XLOOKUP(__xlnm._FilterDatabase_158[[#This Row],[SAPSA Number]],Table1[SAPSA number],Table1[Surname])</f>
        <v>Schmidt</v>
      </c>
      <c r="F12" s="28" t="str">
        <f>_xlfn.XLOOKUP(__xlnm._FilterDatabase_158[[#This Row],[SAPSA Number]],Table1[SAPSA number],Table1[Initials])</f>
        <v>WE</v>
      </c>
      <c r="G12" s="17" t="str">
        <f ca="1">_xlfn.XLOOKUP(__xlnm._FilterDatabase_158[[#This Row],[SAPSA Number]],Table1[SAPSA number],Table1[Gender])</f>
        <v>S</v>
      </c>
      <c r="H12" s="19" t="e">
        <f>_xlfn.XLOOKUP(__xlnm._FilterDatabase_158[[#This Row],[SAPSA Number]],#REF!,#REF!)</f>
        <v>#REF!</v>
      </c>
      <c r="I12" s="19" t="s">
        <v>241</v>
      </c>
      <c r="J12" s="21">
        <f>(IF(L12&gt;0,1,0)+(IF(__xlnm._FilterDatabase_158[[#This Row],[Jan2]]&gt;0,1,0))+(IF(__xlnm._FilterDatabase_158[[#This Row],[Feb2]]&gt;0,1,0))+(IF(N12&gt;0,1,0))+(IF(P12&gt;0,1,0))+(IF(Q12&gt;0,1,0))+(IF(R12&gt;0,1,0))+(IF(T12&gt;0,1,0))+(IF(U12&gt;0,1,0))+(IF(V12&gt;0,1,0))+(IF(X12&gt;0,1,0))+(IF(Y12&gt;0,1,0))+(IF(Z12&gt;0,1,0))+(IF(AA12&gt;0,1,0))+(IF(AB12&gt;0,1,0))+(IF(AC12&gt;0,1,0))+(IF(AD12&gt;0,1,0))+(IF(AE12&gt;0,1,0))+(IF(AF12&gt;0,1,0))+(IF(AH12&gt;0,1,0))+(IF(AG12&gt;0,1,0))+(IF(__xlnm._FilterDatabase_158[[#This Row],[Apr2]]&gt;0,1,0)+(IF(__xlnm._FilterDatabase_158[[#This Row],[Jun2]]&gt;0,1,0))))</f>
        <v>3</v>
      </c>
      <c r="K12" s="22">
        <f t="shared" si="1"/>
        <v>24.376116666666665</v>
      </c>
      <c r="L12" s="23">
        <v>0</v>
      </c>
      <c r="M12" s="23">
        <v>45.81</v>
      </c>
      <c r="N12" s="24">
        <v>0</v>
      </c>
      <c r="O12" s="24">
        <v>0</v>
      </c>
      <c r="P12" s="23">
        <v>0</v>
      </c>
      <c r="Q12" s="23">
        <v>0</v>
      </c>
      <c r="R12" s="24">
        <v>0</v>
      </c>
      <c r="S12" s="24">
        <v>50.448</v>
      </c>
      <c r="T12" s="23">
        <v>0</v>
      </c>
      <c r="U12" s="23">
        <v>49.998699999999999</v>
      </c>
      <c r="V12" s="24">
        <v>0</v>
      </c>
      <c r="W12" s="24">
        <v>0</v>
      </c>
      <c r="X12" s="23">
        <v>0</v>
      </c>
      <c r="Y12" s="23">
        <v>0</v>
      </c>
      <c r="Z12" s="80">
        <v>0</v>
      </c>
      <c r="AA12" s="80">
        <v>0</v>
      </c>
      <c r="AB12" s="79">
        <v>0</v>
      </c>
      <c r="AC12" s="79">
        <v>0</v>
      </c>
      <c r="AD12" s="80">
        <v>0</v>
      </c>
      <c r="AE12" s="80">
        <v>0</v>
      </c>
      <c r="AF12" s="23">
        <v>0</v>
      </c>
      <c r="AG12" s="23">
        <v>0</v>
      </c>
      <c r="AH12" s="24">
        <v>0</v>
      </c>
      <c r="AI12" s="24">
        <v>0</v>
      </c>
    </row>
    <row r="13" spans="1:35" x14ac:dyDescent="0.3">
      <c r="A13" s="17">
        <f t="shared" si="2"/>
        <v>10</v>
      </c>
      <c r="B13" s="88">
        <v>5616</v>
      </c>
      <c r="C13" s="88">
        <f>_xlfn.XLOOKUP(__xlnm._FilterDatabase_158[[#This Row],[SAPSA Number]],Table1[SAPSA number],Table1[Paid up])</f>
        <v>0</v>
      </c>
      <c r="D13" s="39" t="str">
        <f>_xlfn.XLOOKUP(__xlnm._FilterDatabase_158[[#This Row],[SAPSA Number]],Table1[SAPSA number],Table1[Name])</f>
        <v>Cornelis Herman</v>
      </c>
      <c r="E13" s="39" t="str">
        <f>_xlfn.XLOOKUP(__xlnm._FilterDatabase_158[[#This Row],[SAPSA Number]],Table1[SAPSA number],Table1[Surname])</f>
        <v>van Driel</v>
      </c>
      <c r="F13" s="28" t="str">
        <f>_xlfn.XLOOKUP(__xlnm._FilterDatabase_158[[#This Row],[SAPSA Number]],Table1[SAPSA number],Table1[Initials])</f>
        <v>CH</v>
      </c>
      <c r="G13" s="17" t="str">
        <f ca="1">_xlfn.XLOOKUP(__xlnm._FilterDatabase_158[[#This Row],[SAPSA Number]],Table1[SAPSA number],Table1[Gender])</f>
        <v xml:space="preserve"> </v>
      </c>
      <c r="H13" s="19" t="e">
        <f>_xlfn.XLOOKUP(__xlnm._FilterDatabase_158[[#This Row],[SAPSA Number]],#REF!,#REF!)</f>
        <v>#REF!</v>
      </c>
      <c r="I13" s="19" t="s">
        <v>241</v>
      </c>
      <c r="J13" s="21">
        <f>(IF(L13&gt;0,1,0)+(IF(__xlnm._FilterDatabase_158[[#This Row],[Jan2]]&gt;0,1,0))+(IF(__xlnm._FilterDatabase_158[[#This Row],[Feb2]]&gt;0,1,0))+(IF(N13&gt;0,1,0))+(IF(P13&gt;0,1,0))+(IF(Q13&gt;0,1,0))+(IF(R13&gt;0,1,0))+(IF(T13&gt;0,1,0))+(IF(U13&gt;0,1,0))+(IF(V13&gt;0,1,0))+(IF(X13&gt;0,1,0))+(IF(Y13&gt;0,1,0))+(IF(Z13&gt;0,1,0))+(IF(AA13&gt;0,1,0))+(IF(AB13&gt;0,1,0))+(IF(AC13&gt;0,1,0))+(IF(AD13&gt;0,1,0))+(IF(AE13&gt;0,1,0))+(IF(AF13&gt;0,1,0))+(IF(AH13&gt;0,1,0))+(IF(AG13&gt;0,1,0))+(IF(__xlnm._FilterDatabase_158[[#This Row],[Apr2]]&gt;0,1,0)+(IF(__xlnm._FilterDatabase_158[[#This Row],[Jun2]]&gt;0,1,0))))</f>
        <v>2</v>
      </c>
      <c r="K13" s="22">
        <f t="shared" si="1"/>
        <v>33.333333333333336</v>
      </c>
      <c r="L13" s="23">
        <v>0</v>
      </c>
      <c r="M13" s="23">
        <v>0</v>
      </c>
      <c r="N13" s="24">
        <v>0</v>
      </c>
      <c r="O13" s="24">
        <v>0</v>
      </c>
      <c r="P13" s="23">
        <v>0</v>
      </c>
      <c r="Q13" s="23">
        <v>0</v>
      </c>
      <c r="R13" s="24">
        <v>0</v>
      </c>
      <c r="S13" s="24">
        <v>0</v>
      </c>
      <c r="T13" s="23">
        <v>0</v>
      </c>
      <c r="U13" s="23">
        <v>0</v>
      </c>
      <c r="V13" s="24">
        <v>0</v>
      </c>
      <c r="W13" s="24">
        <v>0</v>
      </c>
      <c r="X13" s="23">
        <v>0</v>
      </c>
      <c r="Y13" s="23">
        <v>100</v>
      </c>
      <c r="Z13" s="80">
        <v>0</v>
      </c>
      <c r="AA13" s="80">
        <v>0</v>
      </c>
      <c r="AB13" s="79">
        <v>0</v>
      </c>
      <c r="AC13" s="79">
        <v>0</v>
      </c>
      <c r="AD13" s="80">
        <v>0</v>
      </c>
      <c r="AE13" s="80">
        <v>0</v>
      </c>
      <c r="AF13" s="23">
        <v>0</v>
      </c>
      <c r="AG13" s="23">
        <v>0</v>
      </c>
      <c r="AH13" s="24">
        <v>100</v>
      </c>
      <c r="AI13" s="24">
        <v>0</v>
      </c>
    </row>
    <row r="14" spans="1:35" x14ac:dyDescent="0.3">
      <c r="A14" s="17">
        <f t="shared" si="2"/>
        <v>13</v>
      </c>
      <c r="B14" s="88">
        <v>3576</v>
      </c>
      <c r="C14" s="88" t="str">
        <f>_xlfn.XLOOKUP(__xlnm._FilterDatabase_158[[#This Row],[SAPSA Number]],Table1[SAPSA number],Table1[Paid up])</f>
        <v>Y</v>
      </c>
      <c r="D14" s="39" t="str">
        <f>_xlfn.XLOOKUP(__xlnm._FilterDatabase_158[[#This Row],[SAPSA Number]],Table1[SAPSA number],Table1[Name])</f>
        <v>Christoff Mechiel</v>
      </c>
      <c r="E14" s="39" t="str">
        <f>_xlfn.XLOOKUP(__xlnm._FilterDatabase_158[[#This Row],[SAPSA Number]],Table1[SAPSA number],Table1[Surname])</f>
        <v>Brandt</v>
      </c>
      <c r="F14" s="28" t="str">
        <f>_xlfn.XLOOKUP(__xlnm._FilterDatabase_158[[#This Row],[SAPSA Number]],Table1[SAPSA number],Table1[Initials])</f>
        <v>CM</v>
      </c>
      <c r="G14" s="17" t="str">
        <f ca="1">_xlfn.XLOOKUP(__xlnm._FilterDatabase_158[[#This Row],[SAPSA Number]],Table1[SAPSA number],Table1[Gender])</f>
        <v xml:space="preserve"> </v>
      </c>
      <c r="H14" s="19" t="e">
        <f>_xlfn.XLOOKUP(__xlnm._FilterDatabase_158[[#This Row],[SAPSA Number]],#REF!,#REF!)</f>
        <v>#REF!</v>
      </c>
      <c r="I14" s="19" t="s">
        <v>241</v>
      </c>
      <c r="J14" s="21">
        <f>(IF(L14&gt;0,1,0)+(IF(__xlnm._FilterDatabase_158[[#This Row],[Jan2]]&gt;0,1,0))+(IF(__xlnm._FilterDatabase_158[[#This Row],[Feb2]]&gt;0,1,0))+(IF(N14&gt;0,1,0))+(IF(P14&gt;0,1,0))+(IF(Q14&gt;0,1,0))+(IF(R14&gt;0,1,0))+(IF(T14&gt;0,1,0))+(IF(U14&gt;0,1,0))+(IF(V14&gt;0,1,0))+(IF(X14&gt;0,1,0))+(IF(Y14&gt;0,1,0))+(IF(Z14&gt;0,1,0))+(IF(AA14&gt;0,1,0))+(IF(AB14&gt;0,1,0))+(IF(AC14&gt;0,1,0))+(IF(AD14&gt;0,1,0))+(IF(AE14&gt;0,1,0))+(IF(AF14&gt;0,1,0))+(IF(AH14&gt;0,1,0))+(IF(AG14&gt;0,1,0))+(IF(__xlnm._FilterDatabase_158[[#This Row],[Apr2]]&gt;0,1,0)+(IF(__xlnm._FilterDatabase_158[[#This Row],[Jun2]]&gt;0,1,0))))</f>
        <v>1</v>
      </c>
      <c r="K14" s="22">
        <f t="shared" si="1"/>
        <v>13.642083333333334</v>
      </c>
      <c r="L14" s="23">
        <v>0</v>
      </c>
      <c r="M14" s="23">
        <v>0</v>
      </c>
      <c r="N14" s="24">
        <v>0</v>
      </c>
      <c r="O14" s="24">
        <v>0</v>
      </c>
      <c r="P14" s="23">
        <v>0</v>
      </c>
      <c r="Q14" s="23">
        <v>0</v>
      </c>
      <c r="R14" s="24">
        <v>0</v>
      </c>
      <c r="S14" s="24">
        <v>0</v>
      </c>
      <c r="T14" s="23">
        <v>0</v>
      </c>
      <c r="U14" s="23">
        <v>0</v>
      </c>
      <c r="V14" s="24">
        <v>0</v>
      </c>
      <c r="W14" s="24">
        <v>0</v>
      </c>
      <c r="X14" s="23">
        <v>0</v>
      </c>
      <c r="Y14" s="23">
        <v>0</v>
      </c>
      <c r="Z14" s="80">
        <v>81.852500000000006</v>
      </c>
      <c r="AA14" s="80">
        <v>0</v>
      </c>
      <c r="AB14" s="79">
        <v>0</v>
      </c>
      <c r="AC14" s="79">
        <v>0</v>
      </c>
      <c r="AD14" s="80">
        <v>0</v>
      </c>
      <c r="AE14" s="80">
        <v>0</v>
      </c>
      <c r="AF14" s="23">
        <v>0</v>
      </c>
      <c r="AG14" s="23">
        <v>0</v>
      </c>
      <c r="AH14" s="24">
        <v>0</v>
      </c>
      <c r="AI14" s="24">
        <v>0</v>
      </c>
    </row>
    <row r="15" spans="1:35" x14ac:dyDescent="0.3">
      <c r="A15" s="17">
        <f t="shared" si="2"/>
        <v>14</v>
      </c>
      <c r="B15" s="18">
        <v>3338</v>
      </c>
      <c r="C15" s="88">
        <f>_xlfn.XLOOKUP(__xlnm._FilterDatabase_158[[#This Row],[SAPSA Number]],Table1[SAPSA number],Table1[Paid up])</f>
        <v>0</v>
      </c>
      <c r="D15" s="39" t="str">
        <f>_xlfn.XLOOKUP(__xlnm._FilterDatabase_158[[#This Row],[SAPSA Number]],Table1[SAPSA number],Table1[Name])</f>
        <v>Carl Johann</v>
      </c>
      <c r="E15" s="39" t="str">
        <f>_xlfn.XLOOKUP(__xlnm._FilterDatabase_158[[#This Row],[SAPSA Number]],Table1[SAPSA number],Table1[Surname])</f>
        <v>Brandt</v>
      </c>
      <c r="F15" s="28" t="str">
        <f>_xlfn.XLOOKUP(__xlnm._FilterDatabase_158[[#This Row],[SAPSA Number]],Table1[SAPSA number],Table1[Initials])</f>
        <v>CJ</v>
      </c>
      <c r="G15" s="17" t="str">
        <f ca="1">_xlfn.XLOOKUP(__xlnm._FilterDatabase_158[[#This Row],[SAPSA Number]],Table1[SAPSA number],Table1[Gender])</f>
        <v>S</v>
      </c>
      <c r="H15" s="19" t="e">
        <f>_xlfn.XLOOKUP(__xlnm._FilterDatabase_158[[#This Row],[SAPSA Number]],#REF!,#REF!)</f>
        <v>#REF!</v>
      </c>
      <c r="I15" s="19" t="s">
        <v>241</v>
      </c>
      <c r="J15" s="21">
        <f>(IF(L15&gt;0,1,0)+(IF(__xlnm._FilterDatabase_158[[#This Row],[Jan2]]&gt;0,1,0))+(IF(__xlnm._FilterDatabase_158[[#This Row],[Feb2]]&gt;0,1,0))+(IF(N15&gt;0,1,0))+(IF(P15&gt;0,1,0))+(IF(Q15&gt;0,1,0))+(IF(R15&gt;0,1,0))+(IF(T15&gt;0,1,0))+(IF(U15&gt;0,1,0))+(IF(V15&gt;0,1,0))+(IF(X15&gt;0,1,0))+(IF(Y15&gt;0,1,0))+(IF(Z15&gt;0,1,0))+(IF(AA15&gt;0,1,0))+(IF(AB15&gt;0,1,0))+(IF(AC15&gt;0,1,0))+(IF(AD15&gt;0,1,0))+(IF(AE15&gt;0,1,0))+(IF(AF15&gt;0,1,0))+(IF(AH15&gt;0,1,0))+(IF(AG15&gt;0,1,0))+(IF(__xlnm._FilterDatabase_158[[#This Row],[Apr2]]&gt;0,1,0)+(IF(__xlnm._FilterDatabase_158[[#This Row],[Jun2]]&gt;0,1,0))))</f>
        <v>1</v>
      </c>
      <c r="K15" s="22">
        <f t="shared" si="1"/>
        <v>12.235466666666667</v>
      </c>
      <c r="L15" s="23">
        <v>0</v>
      </c>
      <c r="M15" s="23">
        <v>0</v>
      </c>
      <c r="N15" s="24">
        <v>0</v>
      </c>
      <c r="O15" s="24">
        <v>0</v>
      </c>
      <c r="P15" s="23">
        <v>0</v>
      </c>
      <c r="Q15" s="23">
        <v>0</v>
      </c>
      <c r="R15" s="24">
        <v>0</v>
      </c>
      <c r="S15" s="24">
        <v>0</v>
      </c>
      <c r="T15" s="23">
        <v>0</v>
      </c>
      <c r="U15" s="23">
        <v>0</v>
      </c>
      <c r="V15" s="24">
        <v>0</v>
      </c>
      <c r="W15" s="24">
        <v>0</v>
      </c>
      <c r="X15" s="23">
        <v>0</v>
      </c>
      <c r="Y15" s="23">
        <v>0</v>
      </c>
      <c r="Z15" s="80">
        <v>73.412800000000004</v>
      </c>
      <c r="AA15" s="80">
        <v>0</v>
      </c>
      <c r="AB15" s="79">
        <v>0</v>
      </c>
      <c r="AC15" s="79">
        <v>0</v>
      </c>
      <c r="AD15" s="80">
        <v>0</v>
      </c>
      <c r="AE15" s="80">
        <v>0</v>
      </c>
      <c r="AF15" s="23">
        <v>0</v>
      </c>
      <c r="AG15" s="23">
        <v>0</v>
      </c>
      <c r="AH15" s="24">
        <v>0</v>
      </c>
      <c r="AI15" s="24">
        <v>0</v>
      </c>
    </row>
    <row r="16" spans="1:35" x14ac:dyDescent="0.3">
      <c r="A16" s="17">
        <f t="shared" si="2"/>
        <v>15</v>
      </c>
      <c r="B16" s="88">
        <v>4966</v>
      </c>
      <c r="C16" s="88" t="str">
        <f>_xlfn.XLOOKUP(__xlnm._FilterDatabase_158[[#This Row],[SAPSA Number]],Table1[SAPSA number],Table1[Paid up])</f>
        <v>Y</v>
      </c>
      <c r="D16" s="39" t="str">
        <f>_xlfn.XLOOKUP(__xlnm._FilterDatabase_158[[#This Row],[SAPSA Number]],Table1[SAPSA number],Table1[Name])</f>
        <v>Costantinos</v>
      </c>
      <c r="E16" s="39" t="str">
        <f>_xlfn.XLOOKUP(__xlnm._FilterDatabase_158[[#This Row],[SAPSA Number]],Table1[SAPSA number],Table1[Surname])</f>
        <v>Seindis</v>
      </c>
      <c r="F16" s="28" t="str">
        <f>_xlfn.XLOOKUP(__xlnm._FilterDatabase_158[[#This Row],[SAPSA Number]],Table1[SAPSA number],Table1[Initials])</f>
        <v>C</v>
      </c>
      <c r="G16" s="17" t="str">
        <f ca="1">_xlfn.XLOOKUP(__xlnm._FilterDatabase_158[[#This Row],[SAPSA Number]],Table1[SAPSA number],Table1[Gender])</f>
        <v xml:space="preserve"> </v>
      </c>
      <c r="H16" s="19" t="e">
        <f>_xlfn.XLOOKUP(__xlnm._FilterDatabase_158[[#This Row],[SAPSA Number]],#REF!,#REF!)</f>
        <v>#REF!</v>
      </c>
      <c r="I16" s="19" t="s">
        <v>241</v>
      </c>
      <c r="J16" s="21">
        <f>(IF(L16&gt;0,1,0)+(IF(__xlnm._FilterDatabase_158[[#This Row],[Jan2]]&gt;0,1,0))+(IF(__xlnm._FilterDatabase_158[[#This Row],[Feb2]]&gt;0,1,0))+(IF(N16&gt;0,1,0))+(IF(P16&gt;0,1,0))+(IF(Q16&gt;0,1,0))+(IF(R16&gt;0,1,0))+(IF(T16&gt;0,1,0))+(IF(U16&gt;0,1,0))+(IF(V16&gt;0,1,0))+(IF(X16&gt;0,1,0))+(IF(Y16&gt;0,1,0))+(IF(Z16&gt;0,1,0))+(IF(AA16&gt;0,1,0))+(IF(AB16&gt;0,1,0))+(IF(AC16&gt;0,1,0))+(IF(AD16&gt;0,1,0))+(IF(AE16&gt;0,1,0))+(IF(AF16&gt;0,1,0))+(IF(AH16&gt;0,1,0))+(IF(AG16&gt;0,1,0))+(IF(__xlnm._FilterDatabase_158[[#This Row],[Apr2]]&gt;0,1,0)+(IF(__xlnm._FilterDatabase_158[[#This Row],[Jun2]]&gt;0,1,0))))</f>
        <v>1</v>
      </c>
      <c r="K16" s="22">
        <f t="shared" si="1"/>
        <v>4.8672333333333331</v>
      </c>
      <c r="L16" s="23">
        <v>0</v>
      </c>
      <c r="M16" s="23">
        <v>0</v>
      </c>
      <c r="N16" s="24">
        <v>0</v>
      </c>
      <c r="O16" s="24">
        <v>0</v>
      </c>
      <c r="P16" s="23">
        <v>0</v>
      </c>
      <c r="Q16" s="23">
        <v>0</v>
      </c>
      <c r="R16" s="24">
        <v>0</v>
      </c>
      <c r="S16" s="24">
        <v>0</v>
      </c>
      <c r="T16" s="23">
        <v>0</v>
      </c>
      <c r="U16" s="23">
        <v>0</v>
      </c>
      <c r="V16" s="24">
        <v>0</v>
      </c>
      <c r="W16" s="24">
        <v>0</v>
      </c>
      <c r="X16" s="23">
        <v>0</v>
      </c>
      <c r="Y16" s="23">
        <v>0</v>
      </c>
      <c r="Z16" s="80">
        <v>0</v>
      </c>
      <c r="AA16" s="80">
        <v>29.203399999999998</v>
      </c>
      <c r="AB16" s="79">
        <v>0</v>
      </c>
      <c r="AC16" s="79">
        <v>0</v>
      </c>
      <c r="AD16" s="80">
        <v>0</v>
      </c>
      <c r="AE16" s="80">
        <v>0</v>
      </c>
      <c r="AF16" s="23">
        <v>0</v>
      </c>
      <c r="AG16" s="23">
        <v>0</v>
      </c>
      <c r="AH16" s="24">
        <v>0</v>
      </c>
      <c r="AI16" s="24">
        <v>0</v>
      </c>
    </row>
    <row r="17" spans="1:35" x14ac:dyDescent="0.3">
      <c r="A17" s="17">
        <f t="shared" si="2"/>
        <v>16</v>
      </c>
      <c r="B17" s="88">
        <v>3173</v>
      </c>
      <c r="C17" s="88" t="str">
        <f>_xlfn.XLOOKUP(__xlnm._FilterDatabase_158[[#This Row],[SAPSA Number]],Table1[SAPSA number],Table1[Paid up])</f>
        <v>Y</v>
      </c>
      <c r="D17" s="39" t="str">
        <f>_xlfn.XLOOKUP(__xlnm._FilterDatabase_158[[#This Row],[SAPSA Number]],Table1[SAPSA number],Table1[Name])</f>
        <v>Garrett-John</v>
      </c>
      <c r="E17" s="39" t="str">
        <f>_xlfn.XLOOKUP(__xlnm._FilterDatabase_158[[#This Row],[SAPSA Number]],Table1[SAPSA number],Table1[Surname])</f>
        <v>Evans</v>
      </c>
      <c r="F17" s="28" t="str">
        <f>_xlfn.XLOOKUP(__xlnm._FilterDatabase_158[[#This Row],[SAPSA Number]],Table1[SAPSA number],Table1[Initials])</f>
        <v>G-J</v>
      </c>
      <c r="G17" s="17" t="str">
        <f ca="1">_xlfn.XLOOKUP(__xlnm._FilterDatabase_158[[#This Row],[SAPSA Number]],Table1[SAPSA number],Table1[Gender])</f>
        <v xml:space="preserve"> </v>
      </c>
      <c r="H17" s="19" t="e">
        <f>_xlfn.XLOOKUP(__xlnm._FilterDatabase_158[[#This Row],[SAPSA Number]],#REF!,#REF!)</f>
        <v>#REF!</v>
      </c>
      <c r="I17" s="19" t="s">
        <v>241</v>
      </c>
      <c r="J17" s="21">
        <f>(IF(L17&gt;0,1,0)+(IF(__xlnm._FilterDatabase_158[[#This Row],[Jan2]]&gt;0,1,0))+(IF(__xlnm._FilterDatabase_158[[#This Row],[Feb2]]&gt;0,1,0))+(IF(N17&gt;0,1,0))+(IF(P17&gt;0,1,0))+(IF(Q17&gt;0,1,0))+(IF(R17&gt;0,1,0))+(IF(T17&gt;0,1,0))+(IF(U17&gt;0,1,0))+(IF(V17&gt;0,1,0))+(IF(X17&gt;0,1,0))+(IF(Y17&gt;0,1,0))+(IF(Z17&gt;0,1,0))+(IF(AA17&gt;0,1,0))+(IF(AB17&gt;0,1,0))+(IF(AC17&gt;0,1,0))+(IF(AD17&gt;0,1,0))+(IF(AE17&gt;0,1,0))+(IF(AF17&gt;0,1,0))+(IF(AH17&gt;0,1,0))+(IF(AG17&gt;0,1,0))+(IF(__xlnm._FilterDatabase_158[[#This Row],[Apr2]]&gt;0,1,0)+(IF(__xlnm._FilterDatabase_158[[#This Row],[Jun2]]&gt;0,1,0))))</f>
        <v>0</v>
      </c>
      <c r="K17" s="22">
        <f t="shared" si="1"/>
        <v>0</v>
      </c>
      <c r="L17" s="23">
        <v>0</v>
      </c>
      <c r="M17" s="23">
        <v>0</v>
      </c>
      <c r="N17" s="24">
        <v>0</v>
      </c>
      <c r="O17" s="24">
        <v>0</v>
      </c>
      <c r="P17" s="23">
        <v>0</v>
      </c>
      <c r="Q17" s="23">
        <v>0</v>
      </c>
      <c r="R17" s="24">
        <v>0</v>
      </c>
      <c r="S17" s="24">
        <v>0</v>
      </c>
      <c r="T17" s="23">
        <v>0</v>
      </c>
      <c r="U17" s="23">
        <v>0</v>
      </c>
      <c r="V17" s="24">
        <v>0</v>
      </c>
      <c r="W17" s="24">
        <v>0</v>
      </c>
      <c r="X17" s="23">
        <v>0</v>
      </c>
      <c r="Y17" s="23">
        <v>0</v>
      </c>
      <c r="Z17" s="80">
        <v>0</v>
      </c>
      <c r="AA17" s="80">
        <v>0</v>
      </c>
      <c r="AB17" s="79">
        <v>0</v>
      </c>
      <c r="AC17" s="79">
        <v>0</v>
      </c>
      <c r="AD17" s="80">
        <v>0</v>
      </c>
      <c r="AE17" s="80">
        <v>0</v>
      </c>
      <c r="AF17" s="23">
        <v>0</v>
      </c>
      <c r="AG17" s="23">
        <v>0</v>
      </c>
      <c r="AH17" s="24">
        <v>0</v>
      </c>
      <c r="AI17" s="24">
        <v>0</v>
      </c>
    </row>
    <row r="18" spans="1:35" x14ac:dyDescent="0.3">
      <c r="A18" s="17">
        <f t="shared" si="2"/>
        <v>16</v>
      </c>
      <c r="B18" s="88">
        <v>4858</v>
      </c>
      <c r="C18" s="88" t="str">
        <f>_xlfn.XLOOKUP(__xlnm._FilterDatabase_158[[#This Row],[SAPSA Number]],Table1[SAPSA number],Table1[Paid up])</f>
        <v>Y</v>
      </c>
      <c r="D18" s="39" t="str">
        <f>_xlfn.XLOOKUP(__xlnm._FilterDatabase_158[[#This Row],[SAPSA Number]],Table1[SAPSA number],Table1[Name])</f>
        <v>Jacques</v>
      </c>
      <c r="E18" s="39" t="str">
        <f>_xlfn.XLOOKUP(__xlnm._FilterDatabase_158[[#This Row],[SAPSA Number]],Table1[SAPSA number],Table1[Surname])</f>
        <v>Swanepoel</v>
      </c>
      <c r="F18" s="28" t="str">
        <f>_xlfn.XLOOKUP(__xlnm._FilterDatabase_158[[#This Row],[SAPSA Number]],Table1[SAPSA number],Table1[Initials])</f>
        <v>J</v>
      </c>
      <c r="G18" s="17" t="str">
        <f ca="1">_xlfn.XLOOKUP(__xlnm._FilterDatabase_158[[#This Row],[SAPSA Number]],Table1[SAPSA number],Table1[Gender])</f>
        <v xml:space="preserve"> </v>
      </c>
      <c r="H18" s="19" t="e">
        <f>_xlfn.XLOOKUP(__xlnm._FilterDatabase_158[[#This Row],[SAPSA Number]],#REF!,#REF!)</f>
        <v>#REF!</v>
      </c>
      <c r="I18" s="19" t="s">
        <v>241</v>
      </c>
      <c r="J18" s="21">
        <f>(IF(L18&gt;0,1,0)+(IF(__xlnm._FilterDatabase_158[[#This Row],[Jan2]]&gt;0,1,0))+(IF(__xlnm._FilterDatabase_158[[#This Row],[Feb2]]&gt;0,1,0))+(IF(N18&gt;0,1,0))+(IF(P18&gt;0,1,0))+(IF(Q18&gt;0,1,0))+(IF(R18&gt;0,1,0))+(IF(T18&gt;0,1,0))+(IF(U18&gt;0,1,0))+(IF(V18&gt;0,1,0))+(IF(X18&gt;0,1,0))+(IF(Y18&gt;0,1,0))+(IF(Z18&gt;0,1,0))+(IF(AA18&gt;0,1,0))+(IF(AB18&gt;0,1,0))+(IF(AC18&gt;0,1,0))+(IF(AD18&gt;0,1,0))+(IF(AE18&gt;0,1,0))+(IF(AF18&gt;0,1,0))+(IF(AH18&gt;0,1,0))+(IF(AG18&gt;0,1,0))+(IF(__xlnm._FilterDatabase_158[[#This Row],[Apr2]]&gt;0,1,0)+(IF(__xlnm._FilterDatabase_158[[#This Row],[Jun2]]&gt;0,1,0))))</f>
        <v>0</v>
      </c>
      <c r="K18" s="22">
        <f t="shared" si="1"/>
        <v>0</v>
      </c>
      <c r="L18" s="23">
        <v>0</v>
      </c>
      <c r="M18" s="23">
        <v>0</v>
      </c>
      <c r="N18" s="24">
        <v>0</v>
      </c>
      <c r="O18" s="24">
        <v>0</v>
      </c>
      <c r="P18" s="23">
        <v>0</v>
      </c>
      <c r="Q18" s="23">
        <v>0</v>
      </c>
      <c r="R18" s="24">
        <v>0</v>
      </c>
      <c r="S18" s="24">
        <v>0</v>
      </c>
      <c r="T18" s="23">
        <v>0</v>
      </c>
      <c r="U18" s="23">
        <v>0</v>
      </c>
      <c r="V18" s="24">
        <v>0</v>
      </c>
      <c r="W18" s="24">
        <v>0</v>
      </c>
      <c r="X18" s="23">
        <v>0</v>
      </c>
      <c r="Y18" s="23">
        <v>0</v>
      </c>
      <c r="Z18" s="80">
        <v>0</v>
      </c>
      <c r="AA18" s="80">
        <v>0</v>
      </c>
      <c r="AB18" s="79">
        <v>0</v>
      </c>
      <c r="AC18" s="79">
        <v>0</v>
      </c>
      <c r="AD18" s="80">
        <v>0</v>
      </c>
      <c r="AE18" s="80">
        <v>0</v>
      </c>
      <c r="AF18" s="23">
        <v>0</v>
      </c>
      <c r="AG18" s="23">
        <v>0</v>
      </c>
      <c r="AH18" s="24">
        <v>0</v>
      </c>
      <c r="AI18" s="24">
        <v>0</v>
      </c>
    </row>
    <row r="19" spans="1:35" x14ac:dyDescent="0.3">
      <c r="A19" s="17">
        <f t="shared" si="2"/>
        <v>16</v>
      </c>
      <c r="B19" s="88">
        <v>3172</v>
      </c>
      <c r="C19" s="88" t="str">
        <f>_xlfn.XLOOKUP(__xlnm._FilterDatabase_158[[#This Row],[SAPSA Number]],Table1[SAPSA number],Table1[Paid up])</f>
        <v>Y</v>
      </c>
      <c r="D19" s="39" t="str">
        <f>_xlfn.XLOOKUP(__xlnm._FilterDatabase_158[[#This Row],[SAPSA Number]],Table1[SAPSA number],Table1[Name])</f>
        <v>Mervyn-John</v>
      </c>
      <c r="E19" s="39" t="str">
        <f>_xlfn.XLOOKUP(__xlnm._FilterDatabase_158[[#This Row],[SAPSA Number]],Table1[SAPSA number],Table1[Surname])</f>
        <v>Evans</v>
      </c>
      <c r="F19" s="28" t="str">
        <f>_xlfn.XLOOKUP(__xlnm._FilterDatabase_158[[#This Row],[SAPSA Number]],Table1[SAPSA number],Table1[Initials])</f>
        <v>MJ</v>
      </c>
      <c r="G19" s="17" t="str">
        <f ca="1">_xlfn.XLOOKUP(__xlnm._FilterDatabase_158[[#This Row],[SAPSA Number]],Table1[SAPSA number],Table1[Gender])</f>
        <v>SS</v>
      </c>
      <c r="H19" s="19" t="e">
        <f>_xlfn.XLOOKUP(__xlnm._FilterDatabase_158[[#This Row],[SAPSA Number]],#REF!,#REF!)</f>
        <v>#REF!</v>
      </c>
      <c r="I19" s="19" t="s">
        <v>241</v>
      </c>
      <c r="J19" s="21">
        <f>(IF(L19&gt;0,1,0)+(IF(__xlnm._FilterDatabase_158[[#This Row],[Jan2]]&gt;0,1,0))+(IF(__xlnm._FilterDatabase_158[[#This Row],[Feb2]]&gt;0,1,0))+(IF(N19&gt;0,1,0))+(IF(P19&gt;0,1,0))+(IF(Q19&gt;0,1,0))+(IF(R19&gt;0,1,0))+(IF(T19&gt;0,1,0))+(IF(U19&gt;0,1,0))+(IF(V19&gt;0,1,0))+(IF(X19&gt;0,1,0))+(IF(Y19&gt;0,1,0))+(IF(Z19&gt;0,1,0))+(IF(AA19&gt;0,1,0))+(IF(AB19&gt;0,1,0))+(IF(AC19&gt;0,1,0))+(IF(AD19&gt;0,1,0))+(IF(AE19&gt;0,1,0))+(IF(AF19&gt;0,1,0))+(IF(AH19&gt;0,1,0))+(IF(AG19&gt;0,1,0))+(IF(__xlnm._FilterDatabase_158[[#This Row],[Apr2]]&gt;0,1,0)+(IF(__xlnm._FilterDatabase_158[[#This Row],[Jun2]]&gt;0,1,0))))</f>
        <v>0</v>
      </c>
      <c r="K19" s="22">
        <f t="shared" si="1"/>
        <v>0</v>
      </c>
      <c r="L19" s="23">
        <v>0</v>
      </c>
      <c r="M19" s="23">
        <v>0</v>
      </c>
      <c r="N19" s="24">
        <v>0</v>
      </c>
      <c r="O19" s="24">
        <v>0</v>
      </c>
      <c r="P19" s="23">
        <v>0</v>
      </c>
      <c r="Q19" s="23">
        <v>0</v>
      </c>
      <c r="R19" s="24">
        <v>0</v>
      </c>
      <c r="S19" s="24">
        <v>0</v>
      </c>
      <c r="T19" s="23">
        <v>0</v>
      </c>
      <c r="U19" s="23">
        <v>0</v>
      </c>
      <c r="V19" s="24">
        <v>0</v>
      </c>
      <c r="W19" s="24">
        <v>0</v>
      </c>
      <c r="X19" s="23">
        <v>0</v>
      </c>
      <c r="Y19" s="23">
        <v>0</v>
      </c>
      <c r="Z19" s="80">
        <v>0</v>
      </c>
      <c r="AA19" s="80">
        <v>0</v>
      </c>
      <c r="AB19" s="79">
        <v>0</v>
      </c>
      <c r="AC19" s="79">
        <v>0</v>
      </c>
      <c r="AD19" s="80">
        <v>0</v>
      </c>
      <c r="AE19" s="80">
        <v>0</v>
      </c>
      <c r="AF19" s="23">
        <v>0</v>
      </c>
      <c r="AG19" s="23">
        <v>0</v>
      </c>
      <c r="AH19" s="24">
        <v>0</v>
      </c>
      <c r="AI19" s="24">
        <v>0</v>
      </c>
    </row>
    <row r="20" spans="1:35" x14ac:dyDescent="0.3">
      <c r="A20" s="17">
        <f t="shared" si="2"/>
        <v>16</v>
      </c>
      <c r="B20" s="88">
        <v>7478</v>
      </c>
      <c r="C20" s="88">
        <f>_xlfn.XLOOKUP(__xlnm._FilterDatabase_158[[#This Row],[SAPSA Number]],Table1[SAPSA number],Table1[Paid up])</f>
        <v>0</v>
      </c>
      <c r="D20" s="39" t="str">
        <f>_xlfn.XLOOKUP(__xlnm._FilterDatabase_158[[#This Row],[SAPSA Number]],Table1[SAPSA number],Table1[Name])</f>
        <v>Annemarie</v>
      </c>
      <c r="E20" s="39" t="str">
        <f>_xlfn.XLOOKUP(__xlnm._FilterDatabase_158[[#This Row],[SAPSA Number]],Table1[SAPSA number],Table1[Surname])</f>
        <v>Pienaar</v>
      </c>
      <c r="F20" s="28" t="str">
        <f>_xlfn.XLOOKUP(__xlnm._FilterDatabase_158[[#This Row],[SAPSA Number]],Table1[SAPSA number],Table1[Initials])</f>
        <v>A</v>
      </c>
      <c r="G20" s="17" t="str">
        <f>_xlfn.XLOOKUP(__xlnm._FilterDatabase_158[[#This Row],[SAPSA Number]],Table1[SAPSA number],Table1[Gender])</f>
        <v>Lady</v>
      </c>
      <c r="H20" s="19" t="e">
        <f>_xlfn.XLOOKUP(__xlnm._FilterDatabase_158[[#This Row],[SAPSA Number]],#REF!,#REF!)</f>
        <v>#REF!</v>
      </c>
      <c r="I20" s="19" t="s">
        <v>241</v>
      </c>
      <c r="J20" s="21">
        <f>(IF(L20&gt;0,1,0)+(IF(__xlnm._FilterDatabase_158[[#This Row],[Jan2]]&gt;0,1,0))+(IF(__xlnm._FilterDatabase_158[[#This Row],[Feb2]]&gt;0,1,0))+(IF(N20&gt;0,1,0))+(IF(P20&gt;0,1,0))+(IF(Q20&gt;0,1,0))+(IF(R20&gt;0,1,0))+(IF(T20&gt;0,1,0))+(IF(U20&gt;0,1,0))+(IF(V20&gt;0,1,0))+(IF(X20&gt;0,1,0))+(IF(Y20&gt;0,1,0))+(IF(Z20&gt;0,1,0))+(IF(AA20&gt;0,1,0))+(IF(AB20&gt;0,1,0))+(IF(AC20&gt;0,1,0))+(IF(AD20&gt;0,1,0))+(IF(AE20&gt;0,1,0))+(IF(AF20&gt;0,1,0))+(IF(AH20&gt;0,1,0))+(IF(AG20&gt;0,1,0))+(IF(__xlnm._FilterDatabase_158[[#This Row],[Apr2]]&gt;0,1,0)+(IF(__xlnm._FilterDatabase_158[[#This Row],[Jun2]]&gt;0,1,0))))</f>
        <v>0</v>
      </c>
      <c r="K20" s="22">
        <f t="shared" si="1"/>
        <v>0</v>
      </c>
      <c r="L20" s="23">
        <v>0</v>
      </c>
      <c r="M20" s="23">
        <v>0</v>
      </c>
      <c r="N20" s="24">
        <v>0</v>
      </c>
      <c r="O20" s="24">
        <v>0</v>
      </c>
      <c r="P20" s="23">
        <v>0</v>
      </c>
      <c r="Q20" s="23">
        <v>0</v>
      </c>
      <c r="R20" s="24">
        <v>0</v>
      </c>
      <c r="S20" s="24">
        <v>0</v>
      </c>
      <c r="T20" s="23">
        <v>0</v>
      </c>
      <c r="U20" s="23">
        <v>0</v>
      </c>
      <c r="V20" s="24">
        <v>0</v>
      </c>
      <c r="W20" s="24">
        <v>0</v>
      </c>
      <c r="X20" s="23">
        <v>0</v>
      </c>
      <c r="Y20" s="23">
        <v>0</v>
      </c>
      <c r="Z20" s="80">
        <v>0</v>
      </c>
      <c r="AA20" s="80">
        <v>0</v>
      </c>
      <c r="AB20" s="79">
        <v>0</v>
      </c>
      <c r="AC20" s="79">
        <v>0</v>
      </c>
      <c r="AD20" s="80">
        <v>0</v>
      </c>
      <c r="AE20" s="80">
        <v>0</v>
      </c>
      <c r="AF20" s="23">
        <v>0</v>
      </c>
      <c r="AG20" s="23">
        <v>0</v>
      </c>
      <c r="AH20" s="24">
        <v>0</v>
      </c>
      <c r="AI20" s="24">
        <v>0</v>
      </c>
    </row>
    <row r="21" spans="1:35" x14ac:dyDescent="0.3">
      <c r="A21" s="17">
        <f t="shared" si="2"/>
        <v>16</v>
      </c>
      <c r="B21" s="88">
        <v>1471</v>
      </c>
      <c r="C21" s="88" t="str">
        <f>_xlfn.XLOOKUP(__xlnm._FilterDatabase_158[[#This Row],[SAPSA Number]],Table1[SAPSA number],Table1[Paid up])</f>
        <v>Y</v>
      </c>
      <c r="D21" s="39" t="str">
        <f>_xlfn.XLOOKUP(__xlnm._FilterDatabase_158[[#This Row],[SAPSA Number]],Table1[SAPSA number],Table1[Name])</f>
        <v>Nikolaus Phillip Karl</v>
      </c>
      <c r="E21" s="39" t="str">
        <f>_xlfn.XLOOKUP(__xlnm._FilterDatabase_158[[#This Row],[SAPSA Number]],Table1[SAPSA number],Table1[Surname])</f>
        <v>Bernhard</v>
      </c>
      <c r="F21" s="28" t="str">
        <f>_xlfn.XLOOKUP(__xlnm._FilterDatabase_158[[#This Row],[SAPSA Number]],Table1[SAPSA number],Table1[Initials])</f>
        <v>NPK</v>
      </c>
      <c r="G21" s="17" t="str">
        <f ca="1">_xlfn.XLOOKUP(__xlnm._FilterDatabase_158[[#This Row],[SAPSA Number]],Table1[SAPSA number],Table1[Gender])</f>
        <v xml:space="preserve"> </v>
      </c>
      <c r="H21" s="19" t="e">
        <f>_xlfn.XLOOKUP(__xlnm._FilterDatabase_158[[#This Row],[SAPSA Number]],#REF!,#REF!)</f>
        <v>#REF!</v>
      </c>
      <c r="I21" s="19" t="s">
        <v>241</v>
      </c>
      <c r="J21" s="21">
        <f>(IF(L21&gt;0,1,0)+(IF(__xlnm._FilterDatabase_158[[#This Row],[Jan2]]&gt;0,1,0))+(IF(__xlnm._FilterDatabase_158[[#This Row],[Feb2]]&gt;0,1,0))+(IF(N21&gt;0,1,0))+(IF(P21&gt;0,1,0))+(IF(Q21&gt;0,1,0))+(IF(R21&gt;0,1,0))+(IF(T21&gt;0,1,0))+(IF(U21&gt;0,1,0))+(IF(V21&gt;0,1,0))+(IF(X21&gt;0,1,0))+(IF(Y21&gt;0,1,0))+(IF(Z21&gt;0,1,0))+(IF(AA21&gt;0,1,0))+(IF(AB21&gt;0,1,0))+(IF(AC21&gt;0,1,0))+(IF(AD21&gt;0,1,0))+(IF(AE21&gt;0,1,0))+(IF(AF21&gt;0,1,0))+(IF(AH21&gt;0,1,0))+(IF(AG21&gt;0,1,0))+(IF(__xlnm._FilterDatabase_158[[#This Row],[Apr2]]&gt;0,1,0)+(IF(__xlnm._FilterDatabase_158[[#This Row],[Jun2]]&gt;0,1,0))))</f>
        <v>0</v>
      </c>
      <c r="K21" s="22">
        <f t="shared" si="1"/>
        <v>0</v>
      </c>
      <c r="L21" s="23">
        <v>0</v>
      </c>
      <c r="M21" s="23">
        <v>0</v>
      </c>
      <c r="N21" s="24">
        <v>0</v>
      </c>
      <c r="O21" s="24">
        <v>0</v>
      </c>
      <c r="P21" s="23">
        <v>0</v>
      </c>
      <c r="Q21" s="23">
        <v>0</v>
      </c>
      <c r="R21" s="24">
        <v>0</v>
      </c>
      <c r="S21" s="24">
        <v>0</v>
      </c>
      <c r="T21" s="23">
        <v>0</v>
      </c>
      <c r="U21" s="23">
        <v>0</v>
      </c>
      <c r="V21" s="24">
        <v>0</v>
      </c>
      <c r="W21" s="24">
        <v>0</v>
      </c>
      <c r="X21" s="23">
        <v>0</v>
      </c>
      <c r="Y21" s="23">
        <v>0</v>
      </c>
      <c r="Z21" s="80">
        <v>0</v>
      </c>
      <c r="AA21" s="80">
        <v>0</v>
      </c>
      <c r="AB21" s="79">
        <v>0</v>
      </c>
      <c r="AC21" s="79">
        <v>0</v>
      </c>
      <c r="AD21" s="80">
        <v>0</v>
      </c>
      <c r="AE21" s="80">
        <v>0</v>
      </c>
      <c r="AF21" s="23">
        <v>0</v>
      </c>
      <c r="AG21" s="23">
        <v>0</v>
      </c>
      <c r="AH21" s="24">
        <v>0</v>
      </c>
      <c r="AI21" s="24">
        <v>0</v>
      </c>
    </row>
    <row r="22" spans="1:35" x14ac:dyDescent="0.3">
      <c r="A22" s="17">
        <f t="shared" si="2"/>
        <v>16</v>
      </c>
      <c r="B22" s="88">
        <v>4624</v>
      </c>
      <c r="C22" s="88" t="str">
        <f>_xlfn.XLOOKUP(__xlnm._FilterDatabase_158[[#This Row],[SAPSA Number]],Table1[SAPSA number],Table1[Paid up])</f>
        <v>Y</v>
      </c>
      <c r="D22" s="39" t="str">
        <f>_xlfn.XLOOKUP(__xlnm._FilterDatabase_158[[#This Row],[SAPSA Number]],Table1[SAPSA number],Table1[Name])</f>
        <v>Stephanus Christiaan</v>
      </c>
      <c r="E22" s="39" t="str">
        <f>_xlfn.XLOOKUP(__xlnm._FilterDatabase_158[[#This Row],[SAPSA Number]],Table1[SAPSA number],Table1[Surname])</f>
        <v>Bester</v>
      </c>
      <c r="F22" s="28" t="str">
        <f>_xlfn.XLOOKUP(__xlnm._FilterDatabase_158[[#This Row],[SAPSA Number]],Table1[SAPSA number],Table1[Initials])</f>
        <v>SC</v>
      </c>
      <c r="G22" s="17" t="str">
        <f ca="1">_xlfn.XLOOKUP(__xlnm._FilterDatabase_158[[#This Row],[SAPSA Number]],Table1[SAPSA number],Table1[Gender])</f>
        <v>S</v>
      </c>
      <c r="H22" s="19" t="e">
        <f>_xlfn.XLOOKUP(__xlnm._FilterDatabase_158[[#This Row],[SAPSA Number]],#REF!,#REF!)</f>
        <v>#REF!</v>
      </c>
      <c r="I22" s="19" t="s">
        <v>241</v>
      </c>
      <c r="J22" s="21">
        <f>(IF(L22&gt;0,1,0)+(IF(__xlnm._FilterDatabase_158[[#This Row],[Jan2]]&gt;0,1,0))+(IF(__xlnm._FilterDatabase_158[[#This Row],[Feb2]]&gt;0,1,0))+(IF(N22&gt;0,1,0))+(IF(P22&gt;0,1,0))+(IF(Q22&gt;0,1,0))+(IF(R22&gt;0,1,0))+(IF(T22&gt;0,1,0))+(IF(U22&gt;0,1,0))+(IF(V22&gt;0,1,0))+(IF(X22&gt;0,1,0))+(IF(Y22&gt;0,1,0))+(IF(Z22&gt;0,1,0))+(IF(AA22&gt;0,1,0))+(IF(AB22&gt;0,1,0))+(IF(AC22&gt;0,1,0))+(IF(AD22&gt;0,1,0))+(IF(AE22&gt;0,1,0))+(IF(AF22&gt;0,1,0))+(IF(AH22&gt;0,1,0))+(IF(AG22&gt;0,1,0))+(IF(__xlnm._FilterDatabase_158[[#This Row],[Apr2]]&gt;0,1,0)+(IF(__xlnm._FilterDatabase_158[[#This Row],[Jun2]]&gt;0,1,0))))</f>
        <v>0</v>
      </c>
      <c r="K22" s="22">
        <f t="shared" si="1"/>
        <v>0</v>
      </c>
      <c r="L22" s="23">
        <v>0</v>
      </c>
      <c r="M22" s="23">
        <v>0</v>
      </c>
      <c r="N22" s="24">
        <v>0</v>
      </c>
      <c r="O22" s="24">
        <v>0</v>
      </c>
      <c r="P22" s="23">
        <v>0</v>
      </c>
      <c r="Q22" s="23">
        <v>0</v>
      </c>
      <c r="R22" s="24">
        <v>0</v>
      </c>
      <c r="S22" s="24">
        <v>0</v>
      </c>
      <c r="T22" s="23">
        <v>0</v>
      </c>
      <c r="U22" s="23">
        <v>0</v>
      </c>
      <c r="V22" s="24">
        <v>0</v>
      </c>
      <c r="W22" s="24">
        <v>0</v>
      </c>
      <c r="X22" s="23">
        <v>0</v>
      </c>
      <c r="Y22" s="23">
        <v>0</v>
      </c>
      <c r="Z22" s="80">
        <v>0</v>
      </c>
      <c r="AA22" s="80">
        <v>0</v>
      </c>
      <c r="AB22" s="79">
        <v>0</v>
      </c>
      <c r="AC22" s="79">
        <v>0</v>
      </c>
      <c r="AD22" s="80">
        <v>0</v>
      </c>
      <c r="AE22" s="80">
        <v>0</v>
      </c>
      <c r="AF22" s="23">
        <v>0</v>
      </c>
      <c r="AG22" s="23">
        <v>0</v>
      </c>
      <c r="AH22" s="24">
        <v>0</v>
      </c>
      <c r="AI22" s="24">
        <v>0</v>
      </c>
    </row>
    <row r="23" spans="1:35" x14ac:dyDescent="0.3">
      <c r="A23" s="17">
        <f t="shared" si="2"/>
        <v>16</v>
      </c>
      <c r="B23" s="88">
        <v>7431</v>
      </c>
      <c r="C23" s="88">
        <f>_xlfn.XLOOKUP(__xlnm._FilterDatabase_158[[#This Row],[SAPSA Number]],Table1[SAPSA number],Table1[Paid up])</f>
        <v>0</v>
      </c>
      <c r="D23" s="39" t="str">
        <f>_xlfn.XLOOKUP(__xlnm._FilterDatabase_158[[#This Row],[SAPSA Number]],Table1[SAPSA number],Table1[Name])</f>
        <v>Anton</v>
      </c>
      <c r="E23" s="39" t="str">
        <f>_xlfn.XLOOKUP(__xlnm._FilterDatabase_158[[#This Row],[SAPSA Number]],Table1[SAPSA number],Table1[Surname])</f>
        <v>Booyse</v>
      </c>
      <c r="F23" s="28" t="str">
        <f>_xlfn.XLOOKUP(__xlnm._FilterDatabase_158[[#This Row],[SAPSA Number]],Table1[SAPSA number],Table1[Initials])</f>
        <v>A</v>
      </c>
      <c r="G23" s="17">
        <f>_xlfn.XLOOKUP(__xlnm._FilterDatabase_158[[#This Row],[SAPSA Number]],Table1[SAPSA number],Table1[Gender])</f>
        <v>0</v>
      </c>
      <c r="H23" s="19" t="e">
        <f>_xlfn.XLOOKUP(__xlnm._FilterDatabase_158[[#This Row],[SAPSA Number]],#REF!,#REF!)</f>
        <v>#REF!</v>
      </c>
      <c r="I23" s="19" t="s">
        <v>241</v>
      </c>
      <c r="J23" s="21">
        <f>(IF(L23&gt;0,1,0)+(IF(__xlnm._FilterDatabase_158[[#This Row],[Jan2]]&gt;0,1,0))+(IF(__xlnm._FilterDatabase_158[[#This Row],[Feb2]]&gt;0,1,0))+(IF(N23&gt;0,1,0))+(IF(P23&gt;0,1,0))+(IF(Q23&gt;0,1,0))+(IF(R23&gt;0,1,0))+(IF(T23&gt;0,1,0))+(IF(U23&gt;0,1,0))+(IF(V23&gt;0,1,0))+(IF(X23&gt;0,1,0))+(IF(Y23&gt;0,1,0))+(IF(Z23&gt;0,1,0))+(IF(AA23&gt;0,1,0))+(IF(AB23&gt;0,1,0))+(IF(AC23&gt;0,1,0))+(IF(AD23&gt;0,1,0))+(IF(AE23&gt;0,1,0))+(IF(AF23&gt;0,1,0))+(IF(AH23&gt;0,1,0))+(IF(AG23&gt;0,1,0))+(IF(__xlnm._FilterDatabase_158[[#This Row],[Apr2]]&gt;0,1,0)+(IF(__xlnm._FilterDatabase_158[[#This Row],[Jun2]]&gt;0,1,0))))</f>
        <v>0</v>
      </c>
      <c r="K23" s="22">
        <f t="shared" si="1"/>
        <v>0</v>
      </c>
      <c r="L23" s="23">
        <v>0</v>
      </c>
      <c r="M23" s="23">
        <v>0</v>
      </c>
      <c r="N23" s="24">
        <v>0</v>
      </c>
      <c r="O23" s="24">
        <v>0</v>
      </c>
      <c r="P23" s="23">
        <v>0</v>
      </c>
      <c r="Q23" s="23">
        <v>0</v>
      </c>
      <c r="R23" s="24">
        <v>0</v>
      </c>
      <c r="S23" s="24">
        <v>0</v>
      </c>
      <c r="T23" s="23">
        <v>0</v>
      </c>
      <c r="U23" s="23">
        <v>0</v>
      </c>
      <c r="V23" s="24">
        <v>0</v>
      </c>
      <c r="W23" s="24">
        <v>0</v>
      </c>
      <c r="X23" s="23">
        <v>0</v>
      </c>
      <c r="Y23" s="23">
        <v>0</v>
      </c>
      <c r="Z23" s="80">
        <v>0</v>
      </c>
      <c r="AA23" s="80">
        <v>0</v>
      </c>
      <c r="AB23" s="79">
        <v>0</v>
      </c>
      <c r="AC23" s="79">
        <v>0</v>
      </c>
      <c r="AD23" s="80">
        <v>0</v>
      </c>
      <c r="AE23" s="80">
        <v>0</v>
      </c>
      <c r="AF23" s="23">
        <v>0</v>
      </c>
      <c r="AG23" s="23">
        <v>0</v>
      </c>
      <c r="AH23" s="24">
        <v>0</v>
      </c>
      <c r="AI23" s="24">
        <v>0</v>
      </c>
    </row>
    <row r="24" spans="1:35" x14ac:dyDescent="0.3">
      <c r="A24" s="17">
        <f t="shared" si="2"/>
        <v>16</v>
      </c>
      <c r="B24" s="88">
        <v>3349</v>
      </c>
      <c r="C24" s="88">
        <f>_xlfn.XLOOKUP(__xlnm._FilterDatabase_158[[#This Row],[SAPSA Number]],Table1[SAPSA number],Table1[Paid up])</f>
        <v>0</v>
      </c>
      <c r="D24" s="39" t="str">
        <f>_xlfn.XLOOKUP(__xlnm._FilterDatabase_158[[#This Row],[SAPSA Number]],Table1[SAPSA number],Table1[Name])</f>
        <v>Stefanus Christiaan</v>
      </c>
      <c r="E24" s="39" t="str">
        <f>_xlfn.XLOOKUP(__xlnm._FilterDatabase_158[[#This Row],[SAPSA Number]],Table1[SAPSA number],Table1[Surname])</f>
        <v>Bosch</v>
      </c>
      <c r="F24" s="28" t="str">
        <f>_xlfn.XLOOKUP(__xlnm._FilterDatabase_158[[#This Row],[SAPSA Number]],Table1[SAPSA number],Table1[Initials])</f>
        <v>SC</v>
      </c>
      <c r="G24" s="17" t="str">
        <f ca="1">_xlfn.XLOOKUP(__xlnm._FilterDatabase_158[[#This Row],[SAPSA Number]],Table1[SAPSA number],Table1[Gender])</f>
        <v>S</v>
      </c>
      <c r="H24" s="19" t="e">
        <f>_xlfn.XLOOKUP(__xlnm._FilterDatabase_158[[#This Row],[SAPSA Number]],#REF!,#REF!)</f>
        <v>#REF!</v>
      </c>
      <c r="I24" s="19" t="s">
        <v>241</v>
      </c>
      <c r="J24" s="21">
        <f>(IF(L24&gt;0,1,0)+(IF(__xlnm._FilterDatabase_158[[#This Row],[Jan2]]&gt;0,1,0))+(IF(__xlnm._FilterDatabase_158[[#This Row],[Feb2]]&gt;0,1,0))+(IF(N24&gt;0,1,0))+(IF(P24&gt;0,1,0))+(IF(Q24&gt;0,1,0))+(IF(R24&gt;0,1,0))+(IF(T24&gt;0,1,0))+(IF(U24&gt;0,1,0))+(IF(V24&gt;0,1,0))+(IF(X24&gt;0,1,0))+(IF(Y24&gt;0,1,0))+(IF(Z24&gt;0,1,0))+(IF(AA24&gt;0,1,0))+(IF(AB24&gt;0,1,0))+(IF(AC24&gt;0,1,0))+(IF(AD24&gt;0,1,0))+(IF(AE24&gt;0,1,0))+(IF(AF24&gt;0,1,0))+(IF(AH24&gt;0,1,0))+(IF(AG24&gt;0,1,0))+(IF(__xlnm._FilterDatabase_158[[#This Row],[Apr2]]&gt;0,1,0)+(IF(__xlnm._FilterDatabase_158[[#This Row],[Jun2]]&gt;0,1,0))))</f>
        <v>0</v>
      </c>
      <c r="K24" s="22">
        <f t="shared" si="1"/>
        <v>0</v>
      </c>
      <c r="L24" s="23">
        <v>0</v>
      </c>
      <c r="M24" s="23">
        <v>0</v>
      </c>
      <c r="N24" s="24">
        <v>0</v>
      </c>
      <c r="O24" s="24">
        <v>0</v>
      </c>
      <c r="P24" s="23">
        <v>0</v>
      </c>
      <c r="Q24" s="23">
        <v>0</v>
      </c>
      <c r="R24" s="24">
        <v>0</v>
      </c>
      <c r="S24" s="24">
        <v>0</v>
      </c>
      <c r="T24" s="23">
        <v>0</v>
      </c>
      <c r="U24" s="23">
        <v>0</v>
      </c>
      <c r="V24" s="24">
        <v>0</v>
      </c>
      <c r="W24" s="24">
        <v>0</v>
      </c>
      <c r="X24" s="23">
        <v>0</v>
      </c>
      <c r="Y24" s="23">
        <v>0</v>
      </c>
      <c r="Z24" s="80">
        <v>0</v>
      </c>
      <c r="AA24" s="80">
        <v>0</v>
      </c>
      <c r="AB24" s="79">
        <v>0</v>
      </c>
      <c r="AC24" s="79">
        <v>0</v>
      </c>
      <c r="AD24" s="80">
        <v>0</v>
      </c>
      <c r="AE24" s="80">
        <v>0</v>
      </c>
      <c r="AF24" s="23">
        <v>0</v>
      </c>
      <c r="AG24" s="23">
        <v>0</v>
      </c>
      <c r="AH24" s="24">
        <v>0</v>
      </c>
      <c r="AI24" s="24">
        <v>0</v>
      </c>
    </row>
    <row r="25" spans="1:35" x14ac:dyDescent="0.3">
      <c r="A25" s="17">
        <f t="shared" si="2"/>
        <v>16</v>
      </c>
      <c r="B25" s="88">
        <v>3350</v>
      </c>
      <c r="C25" s="88">
        <f>_xlfn.XLOOKUP(__xlnm._FilterDatabase_158[[#This Row],[SAPSA Number]],Table1[SAPSA number],Table1[Paid up])</f>
        <v>0</v>
      </c>
      <c r="D25" s="39" t="str">
        <f>_xlfn.XLOOKUP(__xlnm._FilterDatabase_158[[#This Row],[SAPSA Number]],Table1[SAPSA number],Table1[Name])</f>
        <v>Conrad Ernest</v>
      </c>
      <c r="E25" s="39" t="str">
        <f>_xlfn.XLOOKUP(__xlnm._FilterDatabase_158[[#This Row],[SAPSA Number]],Table1[SAPSA number],Table1[Surname])</f>
        <v>Brandt</v>
      </c>
      <c r="F25" s="28" t="str">
        <f>_xlfn.XLOOKUP(__xlnm._FilterDatabase_158[[#This Row],[SAPSA Number]],Table1[SAPSA number],Table1[Initials])</f>
        <v>CE</v>
      </c>
      <c r="G25" s="17" t="str">
        <f ca="1">_xlfn.XLOOKUP(__xlnm._FilterDatabase_158[[#This Row],[SAPSA Number]],Table1[SAPSA number],Table1[Gender])</f>
        <v>S</v>
      </c>
      <c r="H25" s="19" t="e">
        <f>_xlfn.XLOOKUP(__xlnm._FilterDatabase_158[[#This Row],[SAPSA Number]],#REF!,#REF!)</f>
        <v>#REF!</v>
      </c>
      <c r="I25" s="19" t="s">
        <v>241</v>
      </c>
      <c r="J25" s="21">
        <f>(IF(L25&gt;0,1,0)+(IF(__xlnm._FilterDatabase_158[[#This Row],[Jan2]]&gt;0,1,0))+(IF(__xlnm._FilterDatabase_158[[#This Row],[Feb2]]&gt;0,1,0))+(IF(N25&gt;0,1,0))+(IF(P25&gt;0,1,0))+(IF(Q25&gt;0,1,0))+(IF(R25&gt;0,1,0))+(IF(T25&gt;0,1,0))+(IF(U25&gt;0,1,0))+(IF(V25&gt;0,1,0))+(IF(X25&gt;0,1,0))+(IF(Y25&gt;0,1,0))+(IF(Z25&gt;0,1,0))+(IF(AA25&gt;0,1,0))+(IF(AB25&gt;0,1,0))+(IF(AC25&gt;0,1,0))+(IF(AD25&gt;0,1,0))+(IF(AE25&gt;0,1,0))+(IF(AF25&gt;0,1,0))+(IF(AH25&gt;0,1,0))+(IF(AG25&gt;0,1,0))+(IF(__xlnm._FilterDatabase_158[[#This Row],[Apr2]]&gt;0,1,0)+(IF(__xlnm._FilterDatabase_158[[#This Row],[Jun2]]&gt;0,1,0))))</f>
        <v>0</v>
      </c>
      <c r="K25" s="22">
        <f t="shared" si="1"/>
        <v>0</v>
      </c>
      <c r="L25" s="23">
        <v>0</v>
      </c>
      <c r="M25" s="23">
        <v>0</v>
      </c>
      <c r="N25" s="24">
        <v>0</v>
      </c>
      <c r="O25" s="24">
        <v>0</v>
      </c>
      <c r="P25" s="23">
        <v>0</v>
      </c>
      <c r="Q25" s="23">
        <v>0</v>
      </c>
      <c r="R25" s="24">
        <v>0</v>
      </c>
      <c r="S25" s="24">
        <v>0</v>
      </c>
      <c r="T25" s="23">
        <v>0</v>
      </c>
      <c r="U25" s="23">
        <v>0</v>
      </c>
      <c r="V25" s="24">
        <v>0</v>
      </c>
      <c r="W25" s="24">
        <v>0</v>
      </c>
      <c r="X25" s="23">
        <v>0</v>
      </c>
      <c r="Y25" s="23">
        <v>0</v>
      </c>
      <c r="Z25" s="80">
        <v>0</v>
      </c>
      <c r="AA25" s="80">
        <v>0</v>
      </c>
      <c r="AB25" s="79">
        <v>0</v>
      </c>
      <c r="AC25" s="79">
        <v>0</v>
      </c>
      <c r="AD25" s="80">
        <v>0</v>
      </c>
      <c r="AE25" s="80">
        <v>0</v>
      </c>
      <c r="AF25" s="23">
        <v>0</v>
      </c>
      <c r="AG25" s="23">
        <v>0</v>
      </c>
      <c r="AH25" s="24">
        <v>0</v>
      </c>
      <c r="AI25" s="24">
        <v>0</v>
      </c>
    </row>
    <row r="26" spans="1:35" x14ac:dyDescent="0.3">
      <c r="A26" s="17">
        <f t="shared" si="2"/>
        <v>16</v>
      </c>
      <c r="B26" s="18">
        <v>5304</v>
      </c>
      <c r="C26" s="88">
        <f>_xlfn.XLOOKUP(__xlnm._FilterDatabase_158[[#This Row],[SAPSA Number]],Table1[SAPSA number],Table1[Paid up])</f>
        <v>0</v>
      </c>
      <c r="D26" s="39" t="str">
        <f>_xlfn.XLOOKUP(__xlnm._FilterDatabase_158[[#This Row],[SAPSA Number]],Table1[SAPSA number],Table1[Name])</f>
        <v>Johan Gerard</v>
      </c>
      <c r="E26" s="39" t="str">
        <f>_xlfn.XLOOKUP(__xlnm._FilterDatabase_158[[#This Row],[SAPSA Number]],Table1[SAPSA number],Table1[Surname])</f>
        <v>Bultman</v>
      </c>
      <c r="F26" s="28" t="str">
        <f>_xlfn.XLOOKUP(__xlnm._FilterDatabase_158[[#This Row],[SAPSA Number]],Table1[SAPSA number],Table1[Initials])</f>
        <v>JG</v>
      </c>
      <c r="G26" s="17" t="str">
        <f ca="1">_xlfn.XLOOKUP(__xlnm._FilterDatabase_158[[#This Row],[SAPSA Number]],Table1[SAPSA number],Table1[Gender])</f>
        <v xml:space="preserve"> </v>
      </c>
      <c r="H26" s="19" t="e">
        <f>_xlfn.XLOOKUP(__xlnm._FilterDatabase_158[[#This Row],[SAPSA Number]],#REF!,#REF!)</f>
        <v>#REF!</v>
      </c>
      <c r="I26" s="19" t="s">
        <v>241</v>
      </c>
      <c r="J26" s="21">
        <f>(IF(L26&gt;0,1,0)+(IF(__xlnm._FilterDatabase_158[[#This Row],[Jan2]]&gt;0,1,0))+(IF(__xlnm._FilterDatabase_158[[#This Row],[Feb2]]&gt;0,1,0))+(IF(N26&gt;0,1,0))+(IF(P26&gt;0,1,0))+(IF(Q26&gt;0,1,0))+(IF(R26&gt;0,1,0))+(IF(T26&gt;0,1,0))+(IF(U26&gt;0,1,0))+(IF(V26&gt;0,1,0))+(IF(X26&gt;0,1,0))+(IF(Y26&gt;0,1,0))+(IF(Z26&gt;0,1,0))+(IF(AA26&gt;0,1,0))+(IF(AB26&gt;0,1,0))+(IF(AC26&gt;0,1,0))+(IF(AD26&gt;0,1,0))+(IF(AE26&gt;0,1,0))+(IF(AF26&gt;0,1,0))+(IF(AH26&gt;0,1,0))+(IF(AG26&gt;0,1,0))+(IF(__xlnm._FilterDatabase_158[[#This Row],[Apr2]]&gt;0,1,0)+(IF(__xlnm._FilterDatabase_158[[#This Row],[Jun2]]&gt;0,1,0))))</f>
        <v>0</v>
      </c>
      <c r="K26" s="22">
        <f t="shared" si="1"/>
        <v>0</v>
      </c>
      <c r="L26" s="23">
        <v>0</v>
      </c>
      <c r="M26" s="23">
        <v>0</v>
      </c>
      <c r="N26" s="24">
        <v>0</v>
      </c>
      <c r="O26" s="24">
        <v>0</v>
      </c>
      <c r="P26" s="23">
        <v>0</v>
      </c>
      <c r="Q26" s="23">
        <v>0</v>
      </c>
      <c r="R26" s="24">
        <v>0</v>
      </c>
      <c r="S26" s="24">
        <v>0</v>
      </c>
      <c r="T26" s="23">
        <v>0</v>
      </c>
      <c r="U26" s="23">
        <v>0</v>
      </c>
      <c r="V26" s="24">
        <v>0</v>
      </c>
      <c r="W26" s="24">
        <v>0</v>
      </c>
      <c r="X26" s="23">
        <v>0</v>
      </c>
      <c r="Y26" s="23">
        <v>0</v>
      </c>
      <c r="Z26" s="80">
        <v>0</v>
      </c>
      <c r="AA26" s="80">
        <v>0</v>
      </c>
      <c r="AB26" s="79">
        <v>0</v>
      </c>
      <c r="AC26" s="79">
        <v>0</v>
      </c>
      <c r="AD26" s="80">
        <v>0</v>
      </c>
      <c r="AE26" s="80">
        <v>0</v>
      </c>
      <c r="AF26" s="23">
        <v>0</v>
      </c>
      <c r="AG26" s="23">
        <v>0</v>
      </c>
      <c r="AH26" s="24">
        <v>0</v>
      </c>
      <c r="AI26" s="24">
        <v>0</v>
      </c>
    </row>
    <row r="27" spans="1:35" x14ac:dyDescent="0.3">
      <c r="A27" s="17">
        <f t="shared" si="2"/>
        <v>16</v>
      </c>
      <c r="B27" s="88">
        <v>259</v>
      </c>
      <c r="C27" s="88" t="str">
        <f>_xlfn.XLOOKUP(__xlnm._FilterDatabase_158[[#This Row],[SAPSA Number]],Table1[SAPSA number],Table1[Paid up])</f>
        <v>Y</v>
      </c>
      <c r="D27" s="39" t="str">
        <f>_xlfn.XLOOKUP(__xlnm._FilterDatabase_158[[#This Row],[SAPSA Number]],Table1[SAPSA number],Table1[Name])</f>
        <v>Kathleen Beresford</v>
      </c>
      <c r="E27" s="39" t="str">
        <f>_xlfn.XLOOKUP(__xlnm._FilterDatabase_158[[#This Row],[SAPSA Number]],Table1[SAPSA number],Table1[Surname])</f>
        <v>Carter</v>
      </c>
      <c r="F27" s="28" t="str">
        <f>_xlfn.XLOOKUP(__xlnm._FilterDatabase_158[[#This Row],[SAPSA Number]],Table1[SAPSA number],Table1[Initials])</f>
        <v>KB</v>
      </c>
      <c r="G27" s="17" t="str">
        <f>_xlfn.XLOOKUP(__xlnm._FilterDatabase_158[[#This Row],[SAPSA Number]],Table1[SAPSA number],Table1[Gender])</f>
        <v>Lady</v>
      </c>
      <c r="H27" s="19" t="e">
        <f>_xlfn.XLOOKUP(__xlnm._FilterDatabase_158[[#This Row],[SAPSA Number]],#REF!,#REF!)</f>
        <v>#REF!</v>
      </c>
      <c r="I27" s="19" t="s">
        <v>241</v>
      </c>
      <c r="J27" s="21">
        <f>(IF(L27&gt;0,1,0)+(IF(__xlnm._FilterDatabase_158[[#This Row],[Jan2]]&gt;0,1,0))+(IF(__xlnm._FilterDatabase_158[[#This Row],[Feb2]]&gt;0,1,0))+(IF(N27&gt;0,1,0))+(IF(P27&gt;0,1,0))+(IF(Q27&gt;0,1,0))+(IF(R27&gt;0,1,0))+(IF(T27&gt;0,1,0))+(IF(U27&gt;0,1,0))+(IF(V27&gt;0,1,0))+(IF(X27&gt;0,1,0))+(IF(Y27&gt;0,1,0))+(IF(Z27&gt;0,1,0))+(IF(AA27&gt;0,1,0))+(IF(AB27&gt;0,1,0))+(IF(AC27&gt;0,1,0))+(IF(AD27&gt;0,1,0))+(IF(AE27&gt;0,1,0))+(IF(AF27&gt;0,1,0))+(IF(AH27&gt;0,1,0))+(IF(AG27&gt;0,1,0))+(IF(__xlnm._FilterDatabase_158[[#This Row],[Apr2]]&gt;0,1,0)+(IF(__xlnm._FilterDatabase_158[[#This Row],[Jun2]]&gt;0,1,0))))</f>
        <v>0</v>
      </c>
      <c r="K27" s="22">
        <f t="shared" si="1"/>
        <v>0</v>
      </c>
      <c r="L27" s="23">
        <v>0</v>
      </c>
      <c r="M27" s="23">
        <v>0</v>
      </c>
      <c r="N27" s="24">
        <v>0</v>
      </c>
      <c r="O27" s="24">
        <v>0</v>
      </c>
      <c r="P27" s="23">
        <v>0</v>
      </c>
      <c r="Q27" s="23">
        <v>0</v>
      </c>
      <c r="R27" s="24">
        <v>0</v>
      </c>
      <c r="S27" s="24">
        <v>0</v>
      </c>
      <c r="T27" s="23">
        <v>0</v>
      </c>
      <c r="U27" s="23">
        <v>0</v>
      </c>
      <c r="V27" s="24">
        <v>0</v>
      </c>
      <c r="W27" s="24">
        <v>0</v>
      </c>
      <c r="X27" s="23">
        <v>0</v>
      </c>
      <c r="Y27" s="23">
        <v>0</v>
      </c>
      <c r="Z27" s="80">
        <v>0</v>
      </c>
      <c r="AA27" s="80">
        <v>0</v>
      </c>
      <c r="AB27" s="79">
        <v>0</v>
      </c>
      <c r="AC27" s="79">
        <v>0</v>
      </c>
      <c r="AD27" s="80">
        <v>0</v>
      </c>
      <c r="AE27" s="80">
        <v>0</v>
      </c>
      <c r="AF27" s="23">
        <v>0</v>
      </c>
      <c r="AG27" s="23">
        <v>0</v>
      </c>
      <c r="AH27" s="24">
        <v>0</v>
      </c>
      <c r="AI27" s="24">
        <v>0</v>
      </c>
    </row>
    <row r="28" spans="1:35" x14ac:dyDescent="0.3">
      <c r="A28" s="17">
        <f t="shared" si="2"/>
        <v>16</v>
      </c>
      <c r="B28" s="89">
        <v>288</v>
      </c>
      <c r="C28" s="88" t="str">
        <f>_xlfn.XLOOKUP(__xlnm._FilterDatabase_158[[#This Row],[SAPSA Number]],Table1[SAPSA number],Table1[Paid up])</f>
        <v>Y</v>
      </c>
      <c r="D28" s="39" t="str">
        <f>_xlfn.XLOOKUP(__xlnm._FilterDatabase_158[[#This Row],[SAPSA Number]],Table1[SAPSA number],Table1[Name])</f>
        <v>Feroz</v>
      </c>
      <c r="E28" s="39" t="str">
        <f>_xlfn.XLOOKUP(__xlnm._FilterDatabase_158[[#This Row],[SAPSA Number]],Table1[SAPSA number],Table1[Surname])</f>
        <v>Daya</v>
      </c>
      <c r="F28" s="28" t="str">
        <f>_xlfn.XLOOKUP(__xlnm._FilterDatabase_158[[#This Row],[SAPSA Number]],Table1[SAPSA number],Table1[Initials])</f>
        <v>F</v>
      </c>
      <c r="G28" s="17" t="str">
        <f ca="1">_xlfn.XLOOKUP(__xlnm._FilterDatabase_158[[#This Row],[SAPSA Number]],Table1[SAPSA number],Table1[Gender])</f>
        <v>S</v>
      </c>
      <c r="H28" s="19" t="e">
        <f>_xlfn.XLOOKUP(__xlnm._FilterDatabase_158[[#This Row],[SAPSA Number]],#REF!,#REF!)</f>
        <v>#REF!</v>
      </c>
      <c r="I28" s="19" t="s">
        <v>241</v>
      </c>
      <c r="J28" s="21">
        <f>(IF(L28&gt;0,1,0)+(IF(__xlnm._FilterDatabase_158[[#This Row],[Jan2]]&gt;0,1,0))+(IF(__xlnm._FilterDatabase_158[[#This Row],[Feb2]]&gt;0,1,0))+(IF(N28&gt;0,1,0))+(IF(P28&gt;0,1,0))+(IF(Q28&gt;0,1,0))+(IF(R28&gt;0,1,0))+(IF(T28&gt;0,1,0))+(IF(U28&gt;0,1,0))+(IF(V28&gt;0,1,0))+(IF(X28&gt;0,1,0))+(IF(Y28&gt;0,1,0))+(IF(Z28&gt;0,1,0))+(IF(AA28&gt;0,1,0))+(IF(AB28&gt;0,1,0))+(IF(AC28&gt;0,1,0))+(IF(AD28&gt;0,1,0))+(IF(AE28&gt;0,1,0))+(IF(AF28&gt;0,1,0))+(IF(AH28&gt;0,1,0))+(IF(AG28&gt;0,1,0))+(IF(__xlnm._FilterDatabase_158[[#This Row],[Apr2]]&gt;0,1,0)+(IF(__xlnm._FilterDatabase_158[[#This Row],[Jun2]]&gt;0,1,0))))</f>
        <v>0</v>
      </c>
      <c r="K28" s="22">
        <f t="shared" si="1"/>
        <v>0</v>
      </c>
      <c r="L28" s="23">
        <v>0</v>
      </c>
      <c r="M28" s="23">
        <v>0</v>
      </c>
      <c r="N28" s="24">
        <v>0</v>
      </c>
      <c r="O28" s="24">
        <v>0</v>
      </c>
      <c r="P28" s="23">
        <v>0</v>
      </c>
      <c r="Q28" s="23">
        <v>0</v>
      </c>
      <c r="R28" s="24">
        <v>0</v>
      </c>
      <c r="S28" s="24">
        <v>0</v>
      </c>
      <c r="T28" s="23">
        <v>0</v>
      </c>
      <c r="U28" s="23">
        <v>0</v>
      </c>
      <c r="V28" s="24">
        <v>0</v>
      </c>
      <c r="W28" s="24">
        <v>0</v>
      </c>
      <c r="X28" s="23">
        <v>0</v>
      </c>
      <c r="Y28" s="23">
        <v>0</v>
      </c>
      <c r="Z28" s="80">
        <v>0</v>
      </c>
      <c r="AA28" s="80">
        <v>0</v>
      </c>
      <c r="AB28" s="79">
        <v>0</v>
      </c>
      <c r="AC28" s="79">
        <v>0</v>
      </c>
      <c r="AD28" s="80">
        <v>0</v>
      </c>
      <c r="AE28" s="80">
        <v>0</v>
      </c>
      <c r="AF28" s="23">
        <v>0</v>
      </c>
      <c r="AG28" s="23">
        <v>0</v>
      </c>
      <c r="AH28" s="24">
        <v>0</v>
      </c>
      <c r="AI28" s="24">
        <v>0</v>
      </c>
    </row>
    <row r="29" spans="1:35" x14ac:dyDescent="0.3">
      <c r="A29" s="17">
        <f t="shared" si="2"/>
        <v>16</v>
      </c>
      <c r="B29" s="92">
        <v>6846</v>
      </c>
      <c r="C29" s="88">
        <f>_xlfn.XLOOKUP(__xlnm._FilterDatabase_158[[#This Row],[SAPSA Number]],Table1[SAPSA number],Table1[Paid up])</f>
        <v>0</v>
      </c>
      <c r="D29" s="39" t="str">
        <f>_xlfn.XLOOKUP(__xlnm._FilterDatabase_158[[#This Row],[SAPSA Number]],Table1[SAPSA number],Table1[Name])</f>
        <v>Daniel Stephanus Jacobus</v>
      </c>
      <c r="E29" s="39" t="str">
        <f>_xlfn.XLOOKUP(__xlnm._FilterDatabase_158[[#This Row],[SAPSA Number]],Table1[SAPSA number],Table1[Surname])</f>
        <v>Dreyer</v>
      </c>
      <c r="F29" s="28" t="str">
        <f>_xlfn.XLOOKUP(__xlnm._FilterDatabase_158[[#This Row],[SAPSA Number]],Table1[SAPSA number],Table1[Initials])</f>
        <v>DSJ</v>
      </c>
      <c r="G29" s="17" t="str">
        <f ca="1">_xlfn.XLOOKUP(__xlnm._FilterDatabase_158[[#This Row],[SAPSA Number]],Table1[SAPSA number],Table1[Gender])</f>
        <v xml:space="preserve"> </v>
      </c>
      <c r="H29" s="19" t="e">
        <f>_xlfn.XLOOKUP(__xlnm._FilterDatabase_158[[#This Row],[SAPSA Number]],#REF!,#REF!)</f>
        <v>#REF!</v>
      </c>
      <c r="I29" s="19" t="s">
        <v>241</v>
      </c>
      <c r="J29" s="21">
        <f>(IF(L29&gt;0,1,0)+(IF(__xlnm._FilterDatabase_158[[#This Row],[Jan2]]&gt;0,1,0))+(IF(__xlnm._FilterDatabase_158[[#This Row],[Feb2]]&gt;0,1,0))+(IF(N29&gt;0,1,0))+(IF(P29&gt;0,1,0))+(IF(Q29&gt;0,1,0))+(IF(R29&gt;0,1,0))+(IF(T29&gt;0,1,0))+(IF(U29&gt;0,1,0))+(IF(V29&gt;0,1,0))+(IF(X29&gt;0,1,0))+(IF(Y29&gt;0,1,0))+(IF(Z29&gt;0,1,0))+(IF(AA29&gt;0,1,0))+(IF(AB29&gt;0,1,0))+(IF(AC29&gt;0,1,0))+(IF(AD29&gt;0,1,0))+(IF(AE29&gt;0,1,0))+(IF(AF29&gt;0,1,0))+(IF(AH29&gt;0,1,0))+(IF(AG29&gt;0,1,0))+(IF(__xlnm._FilterDatabase_158[[#This Row],[Apr2]]&gt;0,1,0)+(IF(__xlnm._FilterDatabase_158[[#This Row],[Jun2]]&gt;0,1,0))))</f>
        <v>0</v>
      </c>
      <c r="K29" s="22">
        <f t="shared" si="1"/>
        <v>0</v>
      </c>
      <c r="L29" s="23">
        <v>0</v>
      </c>
      <c r="M29" s="23">
        <v>0</v>
      </c>
      <c r="N29" s="24">
        <v>0</v>
      </c>
      <c r="O29" s="24">
        <v>0</v>
      </c>
      <c r="P29" s="23">
        <v>0</v>
      </c>
      <c r="Q29" s="23">
        <v>0</v>
      </c>
      <c r="R29" s="24">
        <v>0</v>
      </c>
      <c r="S29" s="24">
        <v>0</v>
      </c>
      <c r="T29" s="23">
        <v>0</v>
      </c>
      <c r="U29" s="23">
        <v>0</v>
      </c>
      <c r="V29" s="24">
        <v>0</v>
      </c>
      <c r="W29" s="24">
        <v>0</v>
      </c>
      <c r="X29" s="23">
        <v>0</v>
      </c>
      <c r="Y29" s="23">
        <v>0</v>
      </c>
      <c r="Z29" s="80">
        <v>0</v>
      </c>
      <c r="AA29" s="80">
        <v>0</v>
      </c>
      <c r="AB29" s="79">
        <v>0</v>
      </c>
      <c r="AC29" s="79">
        <v>0</v>
      </c>
      <c r="AD29" s="80">
        <v>0</v>
      </c>
      <c r="AE29" s="80">
        <v>0</v>
      </c>
      <c r="AF29" s="23">
        <v>0</v>
      </c>
      <c r="AG29" s="23">
        <v>0</v>
      </c>
      <c r="AH29" s="24">
        <v>0</v>
      </c>
      <c r="AI29" s="24">
        <v>0</v>
      </c>
    </row>
    <row r="30" spans="1:35" x14ac:dyDescent="0.3">
      <c r="A30" s="17">
        <f t="shared" si="2"/>
        <v>16</v>
      </c>
      <c r="B30" s="88">
        <v>392</v>
      </c>
      <c r="C30" s="88" t="str">
        <f>_xlfn.XLOOKUP(__xlnm._FilterDatabase_158[[#This Row],[SAPSA Number]],Table1[SAPSA number],Table1[Paid up])</f>
        <v>Y</v>
      </c>
      <c r="D30" s="39" t="str">
        <f>_xlfn.XLOOKUP(__xlnm._FilterDatabase_158[[#This Row],[SAPSA Number]],Table1[SAPSA number],Table1[Name])</f>
        <v>Sasha-Lee</v>
      </c>
      <c r="E30" s="39" t="str">
        <f>_xlfn.XLOOKUP(__xlnm._FilterDatabase_158[[#This Row],[SAPSA Number]],Table1[SAPSA number],Table1[Surname])</f>
        <v>Du Plessis</v>
      </c>
      <c r="F30" s="28" t="str">
        <f>_xlfn.XLOOKUP(__xlnm._FilterDatabase_158[[#This Row],[SAPSA Number]],Table1[SAPSA number],Table1[Initials])</f>
        <v>SL</v>
      </c>
      <c r="G30" s="17" t="str">
        <f>_xlfn.XLOOKUP(__xlnm._FilterDatabase_158[[#This Row],[SAPSA Number]],Table1[SAPSA number],Table1[Gender])</f>
        <v>Lady</v>
      </c>
      <c r="H30" s="19" t="e">
        <f>_xlfn.XLOOKUP(__xlnm._FilterDatabase_158[[#This Row],[SAPSA Number]],#REF!,#REF!)</f>
        <v>#REF!</v>
      </c>
      <c r="I30" s="19" t="s">
        <v>241</v>
      </c>
      <c r="J30" s="21">
        <f>(IF(L30&gt;0,1,0)+(IF(__xlnm._FilterDatabase_158[[#This Row],[Jan2]]&gt;0,1,0))+(IF(__xlnm._FilterDatabase_158[[#This Row],[Feb2]]&gt;0,1,0))+(IF(N30&gt;0,1,0))+(IF(P30&gt;0,1,0))+(IF(Q30&gt;0,1,0))+(IF(R30&gt;0,1,0))+(IF(T30&gt;0,1,0))+(IF(U30&gt;0,1,0))+(IF(V30&gt;0,1,0))+(IF(X30&gt;0,1,0))+(IF(Y30&gt;0,1,0))+(IF(Z30&gt;0,1,0))+(IF(AA30&gt;0,1,0))+(IF(AB30&gt;0,1,0))+(IF(AC30&gt;0,1,0))+(IF(AD30&gt;0,1,0))+(IF(AE30&gt;0,1,0))+(IF(AF30&gt;0,1,0))+(IF(AH30&gt;0,1,0))+(IF(AG30&gt;0,1,0))+(IF(__xlnm._FilterDatabase_158[[#This Row],[Apr2]]&gt;0,1,0)+(IF(__xlnm._FilterDatabase_158[[#This Row],[Jun2]]&gt;0,1,0))))</f>
        <v>0</v>
      </c>
      <c r="K30" s="22">
        <f t="shared" si="1"/>
        <v>0</v>
      </c>
      <c r="L30" s="23">
        <v>0</v>
      </c>
      <c r="M30" s="23">
        <v>0</v>
      </c>
      <c r="N30" s="24">
        <v>0</v>
      </c>
      <c r="O30" s="24">
        <v>0</v>
      </c>
      <c r="P30" s="23">
        <v>0</v>
      </c>
      <c r="Q30" s="23">
        <v>0</v>
      </c>
      <c r="R30" s="24">
        <v>0</v>
      </c>
      <c r="S30" s="24">
        <v>0</v>
      </c>
      <c r="T30" s="23">
        <v>0</v>
      </c>
      <c r="U30" s="23">
        <v>0</v>
      </c>
      <c r="V30" s="24">
        <v>0</v>
      </c>
      <c r="W30" s="24">
        <v>0</v>
      </c>
      <c r="X30" s="23">
        <v>0</v>
      </c>
      <c r="Y30" s="23">
        <v>0</v>
      </c>
      <c r="Z30" s="80">
        <v>0</v>
      </c>
      <c r="AA30" s="80">
        <v>0</v>
      </c>
      <c r="AB30" s="79">
        <v>0</v>
      </c>
      <c r="AC30" s="79">
        <v>0</v>
      </c>
      <c r="AD30" s="80">
        <v>0</v>
      </c>
      <c r="AE30" s="80">
        <v>0</v>
      </c>
      <c r="AF30" s="23">
        <v>0</v>
      </c>
      <c r="AG30" s="23">
        <v>0</v>
      </c>
      <c r="AH30" s="24">
        <v>0</v>
      </c>
      <c r="AI30" s="24">
        <v>0</v>
      </c>
    </row>
    <row r="31" spans="1:35" x14ac:dyDescent="0.3">
      <c r="A31" s="17">
        <f t="shared" si="2"/>
        <v>16</v>
      </c>
      <c r="B31" s="18">
        <v>127</v>
      </c>
      <c r="C31" s="88" t="str">
        <f>_xlfn.XLOOKUP(__xlnm._FilterDatabase_158[[#This Row],[SAPSA Number]],Table1[SAPSA number],Table1[Paid up])</f>
        <v>Y</v>
      </c>
      <c r="D31" s="39" t="str">
        <f>_xlfn.XLOOKUP(__xlnm._FilterDatabase_158[[#This Row],[SAPSA Number]],Table1[SAPSA number],Table1[Name])</f>
        <v>Eurika Susara</v>
      </c>
      <c r="E31" s="39" t="str">
        <f>_xlfn.XLOOKUP(__xlnm._FilterDatabase_158[[#This Row],[SAPSA Number]],Table1[SAPSA number],Table1[Surname])</f>
        <v>Du Plooy</v>
      </c>
      <c r="F31" s="28" t="str">
        <f>_xlfn.XLOOKUP(__xlnm._FilterDatabase_158[[#This Row],[SAPSA Number]],Table1[SAPSA number],Table1[Initials])</f>
        <v>E</v>
      </c>
      <c r="G31" s="17" t="str">
        <f>_xlfn.XLOOKUP(__xlnm._FilterDatabase_158[[#This Row],[SAPSA Number]],Table1[SAPSA number],Table1[Gender])</f>
        <v>SS</v>
      </c>
      <c r="H31" s="19" t="e">
        <f>_xlfn.XLOOKUP(__xlnm._FilterDatabase_158[[#This Row],[SAPSA Number]],#REF!,#REF!)</f>
        <v>#REF!</v>
      </c>
      <c r="I31" s="19" t="s">
        <v>241</v>
      </c>
      <c r="J31" s="21">
        <f>(IF(L31&gt;0,1,0)+(IF(__xlnm._FilterDatabase_158[[#This Row],[Jan2]]&gt;0,1,0))+(IF(__xlnm._FilterDatabase_158[[#This Row],[Feb2]]&gt;0,1,0))+(IF(N31&gt;0,1,0))+(IF(P31&gt;0,1,0))+(IF(Q31&gt;0,1,0))+(IF(R31&gt;0,1,0))+(IF(T31&gt;0,1,0))+(IF(U31&gt;0,1,0))+(IF(V31&gt;0,1,0))+(IF(X31&gt;0,1,0))+(IF(Y31&gt;0,1,0))+(IF(Z31&gt;0,1,0))+(IF(AA31&gt;0,1,0))+(IF(AB31&gt;0,1,0))+(IF(AC31&gt;0,1,0))+(IF(AD31&gt;0,1,0))+(IF(AE31&gt;0,1,0))+(IF(AF31&gt;0,1,0))+(IF(AH31&gt;0,1,0))+(IF(AG31&gt;0,1,0))+(IF(__xlnm._FilterDatabase_158[[#This Row],[Apr2]]&gt;0,1,0)+(IF(__xlnm._FilterDatabase_158[[#This Row],[Jun2]]&gt;0,1,0))))</f>
        <v>0</v>
      </c>
      <c r="K31" s="22">
        <f t="shared" si="1"/>
        <v>0</v>
      </c>
      <c r="L31" s="23">
        <v>0</v>
      </c>
      <c r="M31" s="23">
        <v>0</v>
      </c>
      <c r="N31" s="24">
        <v>0</v>
      </c>
      <c r="O31" s="24">
        <v>0</v>
      </c>
      <c r="P31" s="23">
        <v>0</v>
      </c>
      <c r="Q31" s="23">
        <v>0</v>
      </c>
      <c r="R31" s="24">
        <v>0</v>
      </c>
      <c r="S31" s="24">
        <v>0</v>
      </c>
      <c r="T31" s="23">
        <v>0</v>
      </c>
      <c r="U31" s="23">
        <v>0</v>
      </c>
      <c r="V31" s="24">
        <v>0</v>
      </c>
      <c r="W31" s="24">
        <v>0</v>
      </c>
      <c r="X31" s="23">
        <v>0</v>
      </c>
      <c r="Y31" s="23">
        <v>0</v>
      </c>
      <c r="Z31" s="80">
        <v>0</v>
      </c>
      <c r="AA31" s="80">
        <v>0</v>
      </c>
      <c r="AB31" s="79">
        <v>0</v>
      </c>
      <c r="AC31" s="79">
        <v>0</v>
      </c>
      <c r="AD31" s="80">
        <v>0</v>
      </c>
      <c r="AE31" s="80">
        <v>0</v>
      </c>
      <c r="AF31" s="23">
        <v>0</v>
      </c>
      <c r="AG31" s="23">
        <v>0</v>
      </c>
      <c r="AH31" s="24">
        <v>0</v>
      </c>
      <c r="AI31" s="24">
        <v>0</v>
      </c>
    </row>
    <row r="32" spans="1:35" x14ac:dyDescent="0.3">
      <c r="A32" s="17">
        <f t="shared" si="2"/>
        <v>16</v>
      </c>
      <c r="B32" s="88">
        <v>393</v>
      </c>
      <c r="C32" s="88" t="str">
        <f>_xlfn.XLOOKUP(__xlnm._FilterDatabase_158[[#This Row],[SAPSA Number]],Table1[SAPSA number],Table1[Paid up])</f>
        <v>Y</v>
      </c>
      <c r="D32" s="39" t="str">
        <f>_xlfn.XLOOKUP(__xlnm._FilterDatabase_158[[#This Row],[SAPSA Number]],Table1[SAPSA number],Table1[Name])</f>
        <v>Robyn Angela</v>
      </c>
      <c r="E32" s="39" t="str">
        <f>_xlfn.XLOOKUP(__xlnm._FilterDatabase_158[[#This Row],[SAPSA Number]],Table1[SAPSA number],Table1[Surname])</f>
        <v>Evans</v>
      </c>
      <c r="F32" s="28" t="str">
        <f>_xlfn.XLOOKUP(__xlnm._FilterDatabase_158[[#This Row],[SAPSA Number]],Table1[SAPSA number],Table1[Initials])</f>
        <v>RA</v>
      </c>
      <c r="G32" s="17" t="str">
        <f>_xlfn.XLOOKUP(__xlnm._FilterDatabase_158[[#This Row],[SAPSA Number]],Table1[SAPSA number],Table1[Gender])</f>
        <v>Lady</v>
      </c>
      <c r="H32" s="19" t="e">
        <f>_xlfn.XLOOKUP(__xlnm._FilterDatabase_158[[#This Row],[SAPSA Number]],#REF!,#REF!)</f>
        <v>#REF!</v>
      </c>
      <c r="I32" s="19" t="s">
        <v>241</v>
      </c>
      <c r="J32" s="21">
        <f>(IF(L32&gt;0,1,0)+(IF(__xlnm._FilterDatabase_158[[#This Row],[Jan2]]&gt;0,1,0))+(IF(__xlnm._FilterDatabase_158[[#This Row],[Feb2]]&gt;0,1,0))+(IF(N32&gt;0,1,0))+(IF(P32&gt;0,1,0))+(IF(Q32&gt;0,1,0))+(IF(R32&gt;0,1,0))+(IF(T32&gt;0,1,0))+(IF(U32&gt;0,1,0))+(IF(V32&gt;0,1,0))+(IF(X32&gt;0,1,0))+(IF(Y32&gt;0,1,0))+(IF(Z32&gt;0,1,0))+(IF(AA32&gt;0,1,0))+(IF(AB32&gt;0,1,0))+(IF(AC32&gt;0,1,0))+(IF(AD32&gt;0,1,0))+(IF(AE32&gt;0,1,0))+(IF(AF32&gt;0,1,0))+(IF(AH32&gt;0,1,0))+(IF(AG32&gt;0,1,0))+(IF(__xlnm._FilterDatabase_158[[#This Row],[Apr2]]&gt;0,1,0)+(IF(__xlnm._FilterDatabase_158[[#This Row],[Jun2]]&gt;0,1,0))))</f>
        <v>0</v>
      </c>
      <c r="K32" s="22">
        <f t="shared" si="1"/>
        <v>0</v>
      </c>
      <c r="L32" s="23">
        <v>0</v>
      </c>
      <c r="M32" s="23">
        <v>0</v>
      </c>
      <c r="N32" s="24">
        <v>0</v>
      </c>
      <c r="O32" s="24">
        <v>0</v>
      </c>
      <c r="P32" s="23">
        <v>0</v>
      </c>
      <c r="Q32" s="23">
        <v>0</v>
      </c>
      <c r="R32" s="24">
        <v>0</v>
      </c>
      <c r="S32" s="24">
        <v>0</v>
      </c>
      <c r="T32" s="23">
        <v>0</v>
      </c>
      <c r="U32" s="23">
        <v>0</v>
      </c>
      <c r="V32" s="24">
        <v>0</v>
      </c>
      <c r="W32" s="24">
        <v>0</v>
      </c>
      <c r="X32" s="23">
        <v>0</v>
      </c>
      <c r="Y32" s="23">
        <v>0</v>
      </c>
      <c r="Z32" s="80">
        <v>0</v>
      </c>
      <c r="AA32" s="80">
        <v>0</v>
      </c>
      <c r="AB32" s="79">
        <v>0</v>
      </c>
      <c r="AC32" s="79">
        <v>0</v>
      </c>
      <c r="AD32" s="80">
        <v>0</v>
      </c>
      <c r="AE32" s="80">
        <v>0</v>
      </c>
      <c r="AF32" s="23">
        <v>0</v>
      </c>
      <c r="AG32" s="23">
        <v>0</v>
      </c>
      <c r="AH32" s="24">
        <v>0</v>
      </c>
      <c r="AI32" s="24">
        <v>0</v>
      </c>
    </row>
    <row r="33" spans="1:35" x14ac:dyDescent="0.3">
      <c r="A33" s="17">
        <f t="shared" si="2"/>
        <v>16</v>
      </c>
      <c r="B33" s="91">
        <v>7434</v>
      </c>
      <c r="C33" s="88">
        <f>_xlfn.XLOOKUP(__xlnm._FilterDatabase_158[[#This Row],[SAPSA Number]],Table1[SAPSA number],Table1[Paid up])</f>
        <v>0</v>
      </c>
      <c r="D33" s="39" t="str">
        <f>_xlfn.XLOOKUP(__xlnm._FilterDatabase_158[[#This Row],[SAPSA Number]],Table1[SAPSA number],Table1[Name])</f>
        <v>Shannon Kimberley</v>
      </c>
      <c r="E33" s="39" t="str">
        <f>_xlfn.XLOOKUP(__xlnm._FilterDatabase_158[[#This Row],[SAPSA Number]],Table1[SAPSA number],Table1[Surname])</f>
        <v>Gahagan</v>
      </c>
      <c r="F33" s="28" t="str">
        <f>_xlfn.XLOOKUP(__xlnm._FilterDatabase_158[[#This Row],[SAPSA Number]],Table1[SAPSA number],Table1[Initials])</f>
        <v>S</v>
      </c>
      <c r="G33" s="17" t="str">
        <f>_xlfn.XLOOKUP(__xlnm._FilterDatabase_158[[#This Row],[SAPSA Number]],Table1[SAPSA number],Table1[Gender])</f>
        <v>Lady</v>
      </c>
      <c r="H33" s="19" t="e">
        <f>_xlfn.XLOOKUP(__xlnm._FilterDatabase_158[[#This Row],[SAPSA Number]],#REF!,#REF!)</f>
        <v>#REF!</v>
      </c>
      <c r="I33" s="19" t="s">
        <v>241</v>
      </c>
      <c r="J33" s="21">
        <f>(IF(L33&gt;0,1,0)+(IF(__xlnm._FilterDatabase_158[[#This Row],[Jan2]]&gt;0,1,0))+(IF(__xlnm._FilterDatabase_158[[#This Row],[Feb2]]&gt;0,1,0))+(IF(N33&gt;0,1,0))+(IF(P33&gt;0,1,0))+(IF(Q33&gt;0,1,0))+(IF(R33&gt;0,1,0))+(IF(T33&gt;0,1,0))+(IF(U33&gt;0,1,0))+(IF(V33&gt;0,1,0))+(IF(X33&gt;0,1,0))+(IF(Y33&gt;0,1,0))+(IF(Z33&gt;0,1,0))+(IF(AA33&gt;0,1,0))+(IF(AB33&gt;0,1,0))+(IF(AC33&gt;0,1,0))+(IF(AD33&gt;0,1,0))+(IF(AE33&gt;0,1,0))+(IF(AF33&gt;0,1,0))+(IF(AH33&gt;0,1,0))+(IF(AG33&gt;0,1,0))+(IF(__xlnm._FilterDatabase_158[[#This Row],[Apr2]]&gt;0,1,0)+(IF(__xlnm._FilterDatabase_158[[#This Row],[Jun2]]&gt;0,1,0))))</f>
        <v>0</v>
      </c>
      <c r="K33" s="22">
        <f t="shared" si="1"/>
        <v>0</v>
      </c>
      <c r="L33" s="23">
        <v>0</v>
      </c>
      <c r="M33" s="23">
        <v>0</v>
      </c>
      <c r="N33" s="24">
        <v>0</v>
      </c>
      <c r="O33" s="24">
        <v>0</v>
      </c>
      <c r="P33" s="23">
        <v>0</v>
      </c>
      <c r="Q33" s="23">
        <v>0</v>
      </c>
      <c r="R33" s="24">
        <v>0</v>
      </c>
      <c r="S33" s="24">
        <v>0</v>
      </c>
      <c r="T33" s="23">
        <v>0</v>
      </c>
      <c r="U33" s="23">
        <v>0</v>
      </c>
      <c r="V33" s="24">
        <v>0</v>
      </c>
      <c r="W33" s="24">
        <v>0</v>
      </c>
      <c r="X33" s="23">
        <v>0</v>
      </c>
      <c r="Y33" s="23">
        <v>0</v>
      </c>
      <c r="Z33" s="80">
        <v>0</v>
      </c>
      <c r="AA33" s="80">
        <v>0</v>
      </c>
      <c r="AB33" s="79">
        <v>0</v>
      </c>
      <c r="AC33" s="79">
        <v>0</v>
      </c>
      <c r="AD33" s="80">
        <v>0</v>
      </c>
      <c r="AE33" s="80">
        <v>0</v>
      </c>
      <c r="AF33" s="23">
        <v>0</v>
      </c>
      <c r="AG33" s="23">
        <v>0</v>
      </c>
      <c r="AH33" s="24">
        <v>0</v>
      </c>
      <c r="AI33" s="24">
        <v>0</v>
      </c>
    </row>
    <row r="34" spans="1:35" x14ac:dyDescent="0.3">
      <c r="A34" s="17">
        <f t="shared" si="2"/>
        <v>16</v>
      </c>
      <c r="B34" s="90">
        <v>3782</v>
      </c>
      <c r="C34" s="88">
        <f>_xlfn.XLOOKUP(__xlnm._FilterDatabase_158[[#This Row],[SAPSA Number]],Table1[SAPSA number],Table1[Paid up])</f>
        <v>0</v>
      </c>
      <c r="D34" s="39" t="str">
        <f>_xlfn.XLOOKUP(__xlnm._FilterDatabase_158[[#This Row],[SAPSA Number]],Table1[SAPSA number],Table1[Name])</f>
        <v>Gary Athol</v>
      </c>
      <c r="E34" s="39" t="str">
        <f>_xlfn.XLOOKUP(__xlnm._FilterDatabase_158[[#This Row],[SAPSA Number]],Table1[SAPSA number],Table1[Surname])</f>
        <v>Hagemann</v>
      </c>
      <c r="F34" s="28" t="str">
        <f>_xlfn.XLOOKUP(__xlnm._FilterDatabase_158[[#This Row],[SAPSA Number]],Table1[SAPSA number],Table1[Initials])</f>
        <v>GA</v>
      </c>
      <c r="G34" s="17" t="str">
        <f ca="1">_xlfn.XLOOKUP(__xlnm._FilterDatabase_158[[#This Row],[SAPSA Number]],Table1[SAPSA number],Table1[Gender])</f>
        <v>S</v>
      </c>
      <c r="H34" s="19" t="e">
        <f>_xlfn.XLOOKUP(__xlnm._FilterDatabase_158[[#This Row],[SAPSA Number]],#REF!,#REF!)</f>
        <v>#REF!</v>
      </c>
      <c r="I34" s="19" t="s">
        <v>241</v>
      </c>
      <c r="J34" s="21">
        <f>(IF(L34&gt;0,1,0)+(IF(__xlnm._FilterDatabase_158[[#This Row],[Jan2]]&gt;0,1,0))+(IF(__xlnm._FilterDatabase_158[[#This Row],[Feb2]]&gt;0,1,0))+(IF(N34&gt;0,1,0))+(IF(P34&gt;0,1,0))+(IF(Q34&gt;0,1,0))+(IF(R34&gt;0,1,0))+(IF(T34&gt;0,1,0))+(IF(U34&gt;0,1,0))+(IF(V34&gt;0,1,0))+(IF(X34&gt;0,1,0))+(IF(Y34&gt;0,1,0))+(IF(Z34&gt;0,1,0))+(IF(AA34&gt;0,1,0))+(IF(AB34&gt;0,1,0))+(IF(AC34&gt;0,1,0))+(IF(AD34&gt;0,1,0))+(IF(AE34&gt;0,1,0))+(IF(AF34&gt;0,1,0))+(IF(AH34&gt;0,1,0))+(IF(AG34&gt;0,1,0))+(IF(__xlnm._FilterDatabase_158[[#This Row],[Apr2]]&gt;0,1,0)+(IF(__xlnm._FilterDatabase_158[[#This Row],[Jun2]]&gt;0,1,0))))</f>
        <v>0</v>
      </c>
      <c r="K34" s="22">
        <f t="shared" ref="K34:K65" si="3">(LARGE(L34:AI34,1)+LARGE(L34:AI34,2)+LARGE(L34:AI34,3)+LARGE(L34:AI34,4)+LARGE(L34:AI34,5)+LARGE(L34:AI34,6))/6</f>
        <v>0</v>
      </c>
      <c r="L34" s="23">
        <v>0</v>
      </c>
      <c r="M34" s="23">
        <v>0</v>
      </c>
      <c r="N34" s="24">
        <v>0</v>
      </c>
      <c r="O34" s="24">
        <v>0</v>
      </c>
      <c r="P34" s="23">
        <v>0</v>
      </c>
      <c r="Q34" s="23">
        <v>0</v>
      </c>
      <c r="R34" s="24">
        <v>0</v>
      </c>
      <c r="S34" s="24">
        <v>0</v>
      </c>
      <c r="T34" s="23">
        <v>0</v>
      </c>
      <c r="U34" s="23">
        <v>0</v>
      </c>
      <c r="V34" s="24">
        <v>0</v>
      </c>
      <c r="W34" s="24">
        <v>0</v>
      </c>
      <c r="X34" s="23">
        <v>0</v>
      </c>
      <c r="Y34" s="23">
        <v>0</v>
      </c>
      <c r="Z34" s="80">
        <v>0</v>
      </c>
      <c r="AA34" s="80">
        <v>0</v>
      </c>
      <c r="AB34" s="79">
        <v>0</v>
      </c>
      <c r="AC34" s="79">
        <v>0</v>
      </c>
      <c r="AD34" s="80">
        <v>0</v>
      </c>
      <c r="AE34" s="80">
        <v>0</v>
      </c>
      <c r="AF34" s="23">
        <v>0</v>
      </c>
      <c r="AG34" s="23">
        <v>0</v>
      </c>
      <c r="AH34" s="24">
        <v>0</v>
      </c>
      <c r="AI34" s="24">
        <v>0</v>
      </c>
    </row>
    <row r="35" spans="1:35" x14ac:dyDescent="0.3">
      <c r="A35" s="17">
        <f t="shared" si="2"/>
        <v>16</v>
      </c>
      <c r="B35" s="90">
        <v>6308</v>
      </c>
      <c r="C35" s="88">
        <f>_xlfn.XLOOKUP(__xlnm._FilterDatabase_158[[#This Row],[SAPSA Number]],Table1[SAPSA number],Table1[Paid up])</f>
        <v>0</v>
      </c>
      <c r="D35" s="39" t="str">
        <f>_xlfn.XLOOKUP(__xlnm._FilterDatabase_158[[#This Row],[SAPSA Number]],Table1[SAPSA number],Table1[Name])</f>
        <v>James Matthew</v>
      </c>
      <c r="E35" s="39" t="str">
        <f>_xlfn.XLOOKUP(__xlnm._FilterDatabase_158[[#This Row],[SAPSA Number]],Table1[SAPSA number],Table1[Surname])</f>
        <v>Hagemann</v>
      </c>
      <c r="F35" s="28" t="str">
        <f>_xlfn.XLOOKUP(__xlnm._FilterDatabase_158[[#This Row],[SAPSA Number]],Table1[SAPSA number],Table1[Initials])</f>
        <v>JM</v>
      </c>
      <c r="G35" s="17" t="str">
        <f ca="1">_xlfn.XLOOKUP(__xlnm._FilterDatabase_158[[#This Row],[SAPSA Number]],Table1[SAPSA number],Table1[Gender])</f>
        <v>Jnr</v>
      </c>
      <c r="H35" s="19" t="e">
        <f>_xlfn.XLOOKUP(__xlnm._FilterDatabase_158[[#This Row],[SAPSA Number]],#REF!,#REF!)</f>
        <v>#REF!</v>
      </c>
      <c r="I35" s="19" t="s">
        <v>241</v>
      </c>
      <c r="J35" s="21">
        <f>(IF(L35&gt;0,1,0)+(IF(__xlnm._FilterDatabase_158[[#This Row],[Jan2]]&gt;0,1,0))+(IF(__xlnm._FilterDatabase_158[[#This Row],[Feb2]]&gt;0,1,0))+(IF(N35&gt;0,1,0))+(IF(P35&gt;0,1,0))+(IF(Q35&gt;0,1,0))+(IF(R35&gt;0,1,0))+(IF(T35&gt;0,1,0))+(IF(U35&gt;0,1,0))+(IF(V35&gt;0,1,0))+(IF(X35&gt;0,1,0))+(IF(Y35&gt;0,1,0))+(IF(Z35&gt;0,1,0))+(IF(AA35&gt;0,1,0))+(IF(AB35&gt;0,1,0))+(IF(AC35&gt;0,1,0))+(IF(AD35&gt;0,1,0))+(IF(AE35&gt;0,1,0))+(IF(AF35&gt;0,1,0))+(IF(AH35&gt;0,1,0))+(IF(AG35&gt;0,1,0))+(IF(__xlnm._FilterDatabase_158[[#This Row],[Apr2]]&gt;0,1,0)+(IF(__xlnm._FilterDatabase_158[[#This Row],[Jun2]]&gt;0,1,0))))</f>
        <v>0</v>
      </c>
      <c r="K35" s="22">
        <f t="shared" si="3"/>
        <v>0</v>
      </c>
      <c r="L35" s="23">
        <v>0</v>
      </c>
      <c r="M35" s="23">
        <v>0</v>
      </c>
      <c r="N35" s="24">
        <v>0</v>
      </c>
      <c r="O35" s="24">
        <v>0</v>
      </c>
      <c r="P35" s="23">
        <v>0</v>
      </c>
      <c r="Q35" s="23">
        <v>0</v>
      </c>
      <c r="R35" s="24">
        <v>0</v>
      </c>
      <c r="S35" s="24">
        <v>0</v>
      </c>
      <c r="T35" s="23">
        <v>0</v>
      </c>
      <c r="U35" s="23">
        <v>0</v>
      </c>
      <c r="V35" s="24">
        <v>0</v>
      </c>
      <c r="W35" s="24">
        <v>0</v>
      </c>
      <c r="X35" s="23">
        <v>0</v>
      </c>
      <c r="Y35" s="23">
        <v>0</v>
      </c>
      <c r="Z35" s="80">
        <v>0</v>
      </c>
      <c r="AA35" s="80">
        <v>0</v>
      </c>
      <c r="AB35" s="79">
        <v>0</v>
      </c>
      <c r="AC35" s="79">
        <v>0</v>
      </c>
      <c r="AD35" s="80">
        <v>0</v>
      </c>
      <c r="AE35" s="80">
        <v>0</v>
      </c>
      <c r="AF35" s="23">
        <v>0</v>
      </c>
      <c r="AG35" s="23">
        <v>0</v>
      </c>
      <c r="AH35" s="24">
        <v>0</v>
      </c>
      <c r="AI35" s="24">
        <v>0</v>
      </c>
    </row>
    <row r="36" spans="1:35" x14ac:dyDescent="0.3">
      <c r="A36" s="17">
        <f t="shared" si="2"/>
        <v>16</v>
      </c>
      <c r="B36" s="89">
        <v>7328</v>
      </c>
      <c r="C36" s="88" t="str">
        <f>_xlfn.XLOOKUP(__xlnm._FilterDatabase_158[[#This Row],[SAPSA Number]],Table1[SAPSA number],Table1[Paid up])</f>
        <v>Y</v>
      </c>
      <c r="D36" s="39" t="str">
        <f>_xlfn.XLOOKUP(__xlnm._FilterDatabase_158[[#This Row],[SAPSA Number]],Table1[SAPSA number],Table1[Name])</f>
        <v>Sizwe</v>
      </c>
      <c r="E36" s="39" t="str">
        <f>_xlfn.XLOOKUP(__xlnm._FilterDatabase_158[[#This Row],[SAPSA Number]],Table1[SAPSA number],Table1[Surname])</f>
        <v>Hlongwane</v>
      </c>
      <c r="F36" s="28" t="str">
        <f>_xlfn.XLOOKUP(__xlnm._FilterDatabase_158[[#This Row],[SAPSA Number]],Table1[SAPSA number],Table1[Initials])</f>
        <v>S</v>
      </c>
      <c r="G36" s="17" t="str">
        <f ca="1">_xlfn.XLOOKUP(__xlnm._FilterDatabase_158[[#This Row],[SAPSA Number]],Table1[SAPSA number],Table1[Gender])</f>
        <v xml:space="preserve"> </v>
      </c>
      <c r="H36" s="19" t="e">
        <f>_xlfn.XLOOKUP(__xlnm._FilterDatabase_158[[#This Row],[SAPSA Number]],#REF!,#REF!)</f>
        <v>#REF!</v>
      </c>
      <c r="I36" s="19" t="s">
        <v>241</v>
      </c>
      <c r="J36" s="21">
        <f>(IF(L36&gt;0,1,0)+(IF(__xlnm._FilterDatabase_158[[#This Row],[Jan2]]&gt;0,1,0))+(IF(__xlnm._FilterDatabase_158[[#This Row],[Feb2]]&gt;0,1,0))+(IF(N36&gt;0,1,0))+(IF(P36&gt;0,1,0))+(IF(Q36&gt;0,1,0))+(IF(R36&gt;0,1,0))+(IF(T36&gt;0,1,0))+(IF(U36&gt;0,1,0))+(IF(V36&gt;0,1,0))+(IF(X36&gt;0,1,0))+(IF(Y36&gt;0,1,0))+(IF(Z36&gt;0,1,0))+(IF(AA36&gt;0,1,0))+(IF(AB36&gt;0,1,0))+(IF(AC36&gt;0,1,0))+(IF(AD36&gt;0,1,0))+(IF(AE36&gt;0,1,0))+(IF(AF36&gt;0,1,0))+(IF(AH36&gt;0,1,0))+(IF(AG36&gt;0,1,0))+(IF(__xlnm._FilterDatabase_158[[#This Row],[Apr2]]&gt;0,1,0)+(IF(__xlnm._FilterDatabase_158[[#This Row],[Jun2]]&gt;0,1,0))))</f>
        <v>0</v>
      </c>
      <c r="K36" s="22">
        <f t="shared" si="3"/>
        <v>0</v>
      </c>
      <c r="L36" s="23">
        <v>0</v>
      </c>
      <c r="M36" s="23">
        <v>0</v>
      </c>
      <c r="N36" s="24">
        <v>0</v>
      </c>
      <c r="O36" s="24">
        <v>0</v>
      </c>
      <c r="P36" s="23">
        <v>0</v>
      </c>
      <c r="Q36" s="23">
        <v>0</v>
      </c>
      <c r="R36" s="24">
        <v>0</v>
      </c>
      <c r="S36" s="24">
        <v>0</v>
      </c>
      <c r="T36" s="23">
        <v>0</v>
      </c>
      <c r="U36" s="23">
        <v>0</v>
      </c>
      <c r="V36" s="24">
        <v>0</v>
      </c>
      <c r="W36" s="24">
        <v>0</v>
      </c>
      <c r="X36" s="23">
        <v>0</v>
      </c>
      <c r="Y36" s="23">
        <v>0</v>
      </c>
      <c r="Z36" s="80">
        <v>0</v>
      </c>
      <c r="AA36" s="80">
        <v>0</v>
      </c>
      <c r="AB36" s="79">
        <v>0</v>
      </c>
      <c r="AC36" s="79">
        <v>0</v>
      </c>
      <c r="AD36" s="80">
        <v>0</v>
      </c>
      <c r="AE36" s="80">
        <v>0</v>
      </c>
      <c r="AF36" s="23">
        <v>0</v>
      </c>
      <c r="AG36" s="23">
        <v>0</v>
      </c>
      <c r="AH36" s="24">
        <v>0</v>
      </c>
      <c r="AI36" s="24">
        <v>0</v>
      </c>
    </row>
    <row r="37" spans="1:35" x14ac:dyDescent="0.3">
      <c r="A37" s="17">
        <f t="shared" si="2"/>
        <v>16</v>
      </c>
      <c r="B37" s="89">
        <v>7271</v>
      </c>
      <c r="C37" s="88" t="str">
        <f>_xlfn.XLOOKUP(__xlnm._FilterDatabase_158[[#This Row],[SAPSA Number]],Table1[SAPSA number],Table1[Paid up])</f>
        <v>Y</v>
      </c>
      <c r="D37" s="39" t="str">
        <f>_xlfn.XLOOKUP(__xlnm._FilterDatabase_158[[#This Row],[SAPSA Number]],Table1[SAPSA number],Table1[Name])</f>
        <v>Johan</v>
      </c>
      <c r="E37" s="39" t="str">
        <f>_xlfn.XLOOKUP(__xlnm._FilterDatabase_158[[#This Row],[SAPSA Number]],Table1[SAPSA number],Table1[Surname])</f>
        <v>Jacobs</v>
      </c>
      <c r="F37" s="28" t="str">
        <f>_xlfn.XLOOKUP(__xlnm._FilterDatabase_158[[#This Row],[SAPSA Number]],Table1[SAPSA number],Table1[Initials])</f>
        <v>J</v>
      </c>
      <c r="G37" s="17" t="str">
        <f ca="1">_xlfn.XLOOKUP(__xlnm._FilterDatabase_158[[#This Row],[SAPSA Number]],Table1[SAPSA number],Table1[Gender])</f>
        <v xml:space="preserve"> </v>
      </c>
      <c r="H37" s="19" t="e">
        <f>_xlfn.XLOOKUP(__xlnm._FilterDatabase_158[[#This Row],[SAPSA Number]],#REF!,#REF!)</f>
        <v>#REF!</v>
      </c>
      <c r="I37" s="19" t="s">
        <v>241</v>
      </c>
      <c r="J37" s="21">
        <f>(IF(L37&gt;0,1,0)+(IF(__xlnm._FilterDatabase_158[[#This Row],[Jan2]]&gt;0,1,0))+(IF(__xlnm._FilterDatabase_158[[#This Row],[Feb2]]&gt;0,1,0))+(IF(N37&gt;0,1,0))+(IF(P37&gt;0,1,0))+(IF(Q37&gt;0,1,0))+(IF(R37&gt;0,1,0))+(IF(T37&gt;0,1,0))+(IF(U37&gt;0,1,0))+(IF(V37&gt;0,1,0))+(IF(X37&gt;0,1,0))+(IF(Y37&gt;0,1,0))+(IF(Z37&gt;0,1,0))+(IF(AA37&gt;0,1,0))+(IF(AB37&gt;0,1,0))+(IF(AC37&gt;0,1,0))+(IF(AD37&gt;0,1,0))+(IF(AE37&gt;0,1,0))+(IF(AF37&gt;0,1,0))+(IF(AH37&gt;0,1,0))+(IF(AG37&gt;0,1,0))+(IF(__xlnm._FilterDatabase_158[[#This Row],[Apr2]]&gt;0,1,0)+(IF(__xlnm._FilterDatabase_158[[#This Row],[Jun2]]&gt;0,1,0))))</f>
        <v>0</v>
      </c>
      <c r="K37" s="22">
        <f t="shared" si="3"/>
        <v>0</v>
      </c>
      <c r="L37" s="23">
        <v>0</v>
      </c>
      <c r="M37" s="23">
        <v>0</v>
      </c>
      <c r="N37" s="24">
        <v>0</v>
      </c>
      <c r="O37" s="24">
        <v>0</v>
      </c>
      <c r="P37" s="23">
        <v>0</v>
      </c>
      <c r="Q37" s="23">
        <v>0</v>
      </c>
      <c r="R37" s="24">
        <v>0</v>
      </c>
      <c r="S37" s="24">
        <v>0</v>
      </c>
      <c r="T37" s="23">
        <v>0</v>
      </c>
      <c r="U37" s="23">
        <v>0</v>
      </c>
      <c r="V37" s="24">
        <v>0</v>
      </c>
      <c r="W37" s="24">
        <v>0</v>
      </c>
      <c r="X37" s="23">
        <v>0</v>
      </c>
      <c r="Y37" s="23">
        <v>0</v>
      </c>
      <c r="Z37" s="80">
        <v>0</v>
      </c>
      <c r="AA37" s="80">
        <v>0</v>
      </c>
      <c r="AB37" s="79">
        <v>0</v>
      </c>
      <c r="AC37" s="79">
        <v>0</v>
      </c>
      <c r="AD37" s="80">
        <v>0</v>
      </c>
      <c r="AE37" s="80">
        <v>0</v>
      </c>
      <c r="AF37" s="23">
        <v>0</v>
      </c>
      <c r="AG37" s="23">
        <v>0</v>
      </c>
      <c r="AH37" s="24">
        <v>0</v>
      </c>
      <c r="AI37" s="24">
        <v>0</v>
      </c>
    </row>
    <row r="38" spans="1:35" x14ac:dyDescent="0.3">
      <c r="A38" s="17">
        <f t="shared" si="2"/>
        <v>16</v>
      </c>
      <c r="B38" s="90">
        <v>2655</v>
      </c>
      <c r="C38" s="88" t="str">
        <f>_xlfn.XLOOKUP(__xlnm._FilterDatabase_158[[#This Row],[SAPSA Number]],Table1[SAPSA number],Table1[Paid up])</f>
        <v>Y</v>
      </c>
      <c r="D38" s="39" t="str">
        <f>_xlfn.XLOOKUP(__xlnm._FilterDatabase_158[[#This Row],[SAPSA Number]],Table1[SAPSA number],Table1[Name])</f>
        <v>Ruben</v>
      </c>
      <c r="E38" s="39" t="str">
        <f>_xlfn.XLOOKUP(__xlnm._FilterDatabase_158[[#This Row],[SAPSA Number]],Table1[SAPSA number],Table1[Surname])</f>
        <v>Joubert</v>
      </c>
      <c r="F38" s="28" t="str">
        <f>_xlfn.XLOOKUP(__xlnm._FilterDatabase_158[[#This Row],[SAPSA Number]],Table1[SAPSA number],Table1[Initials])</f>
        <v>R</v>
      </c>
      <c r="G38" s="17" t="str">
        <f ca="1">_xlfn.XLOOKUP(__xlnm._FilterDatabase_158[[#This Row],[SAPSA Number]],Table1[SAPSA number],Table1[Gender])</f>
        <v>Jnr</v>
      </c>
      <c r="H38" s="19" t="e">
        <f>_xlfn.XLOOKUP(__xlnm._FilterDatabase_158[[#This Row],[SAPSA Number]],#REF!,#REF!)</f>
        <v>#REF!</v>
      </c>
      <c r="I38" s="19" t="s">
        <v>241</v>
      </c>
      <c r="J38" s="21">
        <f>(IF(L38&gt;0,1,0)+(IF(__xlnm._FilterDatabase_158[[#This Row],[Jan2]]&gt;0,1,0))+(IF(__xlnm._FilterDatabase_158[[#This Row],[Feb2]]&gt;0,1,0))+(IF(N38&gt;0,1,0))+(IF(P38&gt;0,1,0))+(IF(Q38&gt;0,1,0))+(IF(R38&gt;0,1,0))+(IF(T38&gt;0,1,0))+(IF(U38&gt;0,1,0))+(IF(V38&gt;0,1,0))+(IF(X38&gt;0,1,0))+(IF(Y38&gt;0,1,0))+(IF(Z38&gt;0,1,0))+(IF(AA38&gt;0,1,0))+(IF(AB38&gt;0,1,0))+(IF(AC38&gt;0,1,0))+(IF(AD38&gt;0,1,0))+(IF(AE38&gt;0,1,0))+(IF(AF38&gt;0,1,0))+(IF(AH38&gt;0,1,0))+(IF(AG38&gt;0,1,0))+(IF(__xlnm._FilterDatabase_158[[#This Row],[Apr2]]&gt;0,1,0)+(IF(__xlnm._FilterDatabase_158[[#This Row],[Jun2]]&gt;0,1,0))))</f>
        <v>0</v>
      </c>
      <c r="K38" s="22">
        <f t="shared" si="3"/>
        <v>0</v>
      </c>
      <c r="L38" s="23">
        <v>0</v>
      </c>
      <c r="M38" s="23">
        <v>0</v>
      </c>
      <c r="N38" s="24">
        <v>0</v>
      </c>
      <c r="O38" s="24">
        <v>0</v>
      </c>
      <c r="P38" s="23">
        <v>0</v>
      </c>
      <c r="Q38" s="23">
        <v>0</v>
      </c>
      <c r="R38" s="24">
        <v>0</v>
      </c>
      <c r="S38" s="24">
        <v>0</v>
      </c>
      <c r="T38" s="23">
        <v>0</v>
      </c>
      <c r="U38" s="23">
        <v>0</v>
      </c>
      <c r="V38" s="24">
        <v>0</v>
      </c>
      <c r="W38" s="24">
        <v>0</v>
      </c>
      <c r="X38" s="23">
        <v>0</v>
      </c>
      <c r="Y38" s="23">
        <v>0</v>
      </c>
      <c r="Z38" s="80">
        <v>0</v>
      </c>
      <c r="AA38" s="80">
        <v>0</v>
      </c>
      <c r="AB38" s="79">
        <v>0</v>
      </c>
      <c r="AC38" s="79">
        <v>0</v>
      </c>
      <c r="AD38" s="80">
        <v>0</v>
      </c>
      <c r="AE38" s="80">
        <v>0</v>
      </c>
      <c r="AF38" s="23">
        <v>0</v>
      </c>
      <c r="AG38" s="23">
        <v>0</v>
      </c>
      <c r="AH38" s="24">
        <v>0</v>
      </c>
      <c r="AI38" s="24">
        <v>0</v>
      </c>
    </row>
    <row r="39" spans="1:35" x14ac:dyDescent="0.3">
      <c r="A39" s="17">
        <f t="shared" si="2"/>
        <v>16</v>
      </c>
      <c r="B39" s="18">
        <v>3339</v>
      </c>
      <c r="C39" s="88" t="str">
        <f>_xlfn.XLOOKUP(__xlnm._FilterDatabase_158[[#This Row],[SAPSA Number]],Table1[SAPSA number],Table1[Paid up])</f>
        <v>Y</v>
      </c>
      <c r="D39" s="39" t="str">
        <f>_xlfn.XLOOKUP(__xlnm._FilterDatabase_158[[#This Row],[SAPSA Number]],Table1[SAPSA number],Table1[Name])</f>
        <v>Hendrik Johannes</v>
      </c>
      <c r="E39" s="39" t="str">
        <f>_xlfn.XLOOKUP(__xlnm._FilterDatabase_158[[#This Row],[SAPSA Number]],Table1[SAPSA number],Table1[Surname])</f>
        <v>Joubert</v>
      </c>
      <c r="F39" s="28" t="str">
        <f>_xlfn.XLOOKUP(__xlnm._FilterDatabase_158[[#This Row],[SAPSA Number]],Table1[SAPSA number],Table1[Initials])</f>
        <v>HJ</v>
      </c>
      <c r="G39" s="17" t="str">
        <f ca="1">_xlfn.XLOOKUP(__xlnm._FilterDatabase_158[[#This Row],[SAPSA Number]],Table1[SAPSA number],Table1[Gender])</f>
        <v>S</v>
      </c>
      <c r="H39" s="19" t="e">
        <f>_xlfn.XLOOKUP(__xlnm._FilterDatabase_158[[#This Row],[SAPSA Number]],#REF!,#REF!)</f>
        <v>#REF!</v>
      </c>
      <c r="I39" s="19" t="s">
        <v>241</v>
      </c>
      <c r="J39" s="21">
        <f>(IF(L39&gt;0,1,0)+(IF(__xlnm._FilterDatabase_158[[#This Row],[Jan2]]&gt;0,1,0))+(IF(__xlnm._FilterDatabase_158[[#This Row],[Feb2]]&gt;0,1,0))+(IF(N39&gt;0,1,0))+(IF(P39&gt;0,1,0))+(IF(Q39&gt;0,1,0))+(IF(R39&gt;0,1,0))+(IF(T39&gt;0,1,0))+(IF(U39&gt;0,1,0))+(IF(V39&gt;0,1,0))+(IF(X39&gt;0,1,0))+(IF(Y39&gt;0,1,0))+(IF(Z39&gt;0,1,0))+(IF(AA39&gt;0,1,0))+(IF(AB39&gt;0,1,0))+(IF(AC39&gt;0,1,0))+(IF(AD39&gt;0,1,0))+(IF(AE39&gt;0,1,0))+(IF(AF39&gt;0,1,0))+(IF(AH39&gt;0,1,0))+(IF(AG39&gt;0,1,0))+(IF(__xlnm._FilterDatabase_158[[#This Row],[Apr2]]&gt;0,1,0)+(IF(__xlnm._FilterDatabase_158[[#This Row],[Jun2]]&gt;0,1,0))))</f>
        <v>0</v>
      </c>
      <c r="K39" s="22">
        <f t="shared" si="3"/>
        <v>0</v>
      </c>
      <c r="L39" s="23">
        <v>0</v>
      </c>
      <c r="M39" s="23">
        <v>0</v>
      </c>
      <c r="N39" s="24">
        <v>0</v>
      </c>
      <c r="O39" s="24">
        <v>0</v>
      </c>
      <c r="P39" s="23">
        <v>0</v>
      </c>
      <c r="Q39" s="23">
        <v>0</v>
      </c>
      <c r="R39" s="24">
        <v>0</v>
      </c>
      <c r="S39" s="24">
        <v>0</v>
      </c>
      <c r="T39" s="23">
        <v>0</v>
      </c>
      <c r="U39" s="23">
        <v>0</v>
      </c>
      <c r="V39" s="24">
        <v>0</v>
      </c>
      <c r="W39" s="24">
        <v>0</v>
      </c>
      <c r="X39" s="23">
        <v>0</v>
      </c>
      <c r="Y39" s="23">
        <v>0</v>
      </c>
      <c r="Z39" s="80">
        <v>0</v>
      </c>
      <c r="AA39" s="80">
        <v>0</v>
      </c>
      <c r="AB39" s="79">
        <v>0</v>
      </c>
      <c r="AC39" s="79">
        <v>0</v>
      </c>
      <c r="AD39" s="80">
        <v>0</v>
      </c>
      <c r="AE39" s="80">
        <v>0</v>
      </c>
      <c r="AF39" s="23">
        <v>0</v>
      </c>
      <c r="AG39" s="23">
        <v>0</v>
      </c>
      <c r="AH39" s="24">
        <v>0</v>
      </c>
      <c r="AI39" s="24">
        <v>0</v>
      </c>
    </row>
    <row r="40" spans="1:35" x14ac:dyDescent="0.3">
      <c r="A40" s="17">
        <f t="shared" si="2"/>
        <v>16</v>
      </c>
      <c r="B40" s="18">
        <v>4094</v>
      </c>
      <c r="C40" s="88" t="str">
        <f>_xlfn.XLOOKUP(__xlnm._FilterDatabase_158[[#This Row],[SAPSA Number]],Table1[SAPSA number],Table1[Paid up])</f>
        <v>Y</v>
      </c>
      <c r="D40" s="39" t="str">
        <f>_xlfn.XLOOKUP(__xlnm._FilterDatabase_158[[#This Row],[SAPSA Number]],Table1[SAPSA number],Table1[Name])</f>
        <v>Johan</v>
      </c>
      <c r="E40" s="39" t="str">
        <f>_xlfn.XLOOKUP(__xlnm._FilterDatabase_158[[#This Row],[SAPSA Number]],Table1[SAPSA number],Table1[Surname])</f>
        <v>Kemp</v>
      </c>
      <c r="F40" s="28" t="str">
        <f>_xlfn.XLOOKUP(__xlnm._FilterDatabase_158[[#This Row],[SAPSA Number]],Table1[SAPSA number],Table1[Initials])</f>
        <v>J</v>
      </c>
      <c r="G40" s="17" t="str">
        <f ca="1">_xlfn.XLOOKUP(__xlnm._FilterDatabase_158[[#This Row],[SAPSA Number]],Table1[SAPSA number],Table1[Gender])</f>
        <v xml:space="preserve"> </v>
      </c>
      <c r="H40" s="19" t="e">
        <f>_xlfn.XLOOKUP(__xlnm._FilterDatabase_158[[#This Row],[SAPSA Number]],#REF!,#REF!)</f>
        <v>#REF!</v>
      </c>
      <c r="I40" s="19" t="s">
        <v>241</v>
      </c>
      <c r="J40" s="21">
        <f>(IF(L40&gt;0,1,0)+(IF(__xlnm._FilterDatabase_158[[#This Row],[Jan2]]&gt;0,1,0))+(IF(__xlnm._FilterDatabase_158[[#This Row],[Feb2]]&gt;0,1,0))+(IF(N40&gt;0,1,0))+(IF(P40&gt;0,1,0))+(IF(Q40&gt;0,1,0))+(IF(R40&gt;0,1,0))+(IF(T40&gt;0,1,0))+(IF(U40&gt;0,1,0))+(IF(V40&gt;0,1,0))+(IF(X40&gt;0,1,0))+(IF(Y40&gt;0,1,0))+(IF(Z40&gt;0,1,0))+(IF(AA40&gt;0,1,0))+(IF(AB40&gt;0,1,0))+(IF(AC40&gt;0,1,0))+(IF(AD40&gt;0,1,0))+(IF(AE40&gt;0,1,0))+(IF(AF40&gt;0,1,0))+(IF(AH40&gt;0,1,0))+(IF(AG40&gt;0,1,0))+(IF(__xlnm._FilterDatabase_158[[#This Row],[Apr2]]&gt;0,1,0)+(IF(__xlnm._FilterDatabase_158[[#This Row],[Jun2]]&gt;0,1,0))))</f>
        <v>0</v>
      </c>
      <c r="K40" s="22">
        <f t="shared" si="3"/>
        <v>0</v>
      </c>
      <c r="L40" s="23">
        <v>0</v>
      </c>
      <c r="M40" s="23">
        <v>0</v>
      </c>
      <c r="N40" s="24">
        <v>0</v>
      </c>
      <c r="O40" s="24">
        <v>0</v>
      </c>
      <c r="P40" s="23">
        <v>0</v>
      </c>
      <c r="Q40" s="23">
        <v>0</v>
      </c>
      <c r="R40" s="24">
        <v>0</v>
      </c>
      <c r="S40" s="24">
        <v>0</v>
      </c>
      <c r="T40" s="23">
        <v>0</v>
      </c>
      <c r="U40" s="23">
        <v>0</v>
      </c>
      <c r="V40" s="24">
        <v>0</v>
      </c>
      <c r="W40" s="24">
        <v>0</v>
      </c>
      <c r="X40" s="23">
        <v>0</v>
      </c>
      <c r="Y40" s="23">
        <v>0</v>
      </c>
      <c r="Z40" s="80">
        <v>0</v>
      </c>
      <c r="AA40" s="80">
        <v>0</v>
      </c>
      <c r="AB40" s="79">
        <v>0</v>
      </c>
      <c r="AC40" s="79">
        <v>0</v>
      </c>
      <c r="AD40" s="80">
        <v>0</v>
      </c>
      <c r="AE40" s="80">
        <v>0</v>
      </c>
      <c r="AF40" s="23">
        <v>0</v>
      </c>
      <c r="AG40" s="23">
        <v>0</v>
      </c>
      <c r="AH40" s="24">
        <v>0</v>
      </c>
      <c r="AI40" s="24">
        <v>0</v>
      </c>
    </row>
    <row r="41" spans="1:35" x14ac:dyDescent="0.3">
      <c r="A41" s="17">
        <f t="shared" ref="A41:A70" si="4">RANK(K41,K$2:K$144,0)</f>
        <v>16</v>
      </c>
      <c r="B41" s="88">
        <v>6968</v>
      </c>
      <c r="C41" s="88" t="str">
        <f>_xlfn.XLOOKUP(__xlnm._FilterDatabase_158[[#This Row],[SAPSA Number]],Table1[SAPSA number],Table1[Paid up])</f>
        <v>Y</v>
      </c>
      <c r="D41" s="39" t="str">
        <f>_xlfn.XLOOKUP(__xlnm._FilterDatabase_158[[#This Row],[SAPSA Number]],Table1[SAPSA number],Table1[Name])</f>
        <v>Ian John</v>
      </c>
      <c r="E41" s="39" t="str">
        <f>_xlfn.XLOOKUP(__xlnm._FilterDatabase_158[[#This Row],[SAPSA Number]],Table1[SAPSA number],Table1[Surname])</f>
        <v>Kewley</v>
      </c>
      <c r="F41" s="28" t="str">
        <f>_xlfn.XLOOKUP(__xlnm._FilterDatabase_158[[#This Row],[SAPSA Number]],Table1[SAPSA number],Table1[Initials])</f>
        <v>IJ</v>
      </c>
      <c r="G41" s="17" t="str">
        <f ca="1">_xlfn.XLOOKUP(__xlnm._FilterDatabase_158[[#This Row],[SAPSA Number]],Table1[SAPSA number],Table1[Gender])</f>
        <v xml:space="preserve"> </v>
      </c>
      <c r="H41" s="19" t="e">
        <f>_xlfn.XLOOKUP(__xlnm._FilterDatabase_158[[#This Row],[SAPSA Number]],#REF!,#REF!)</f>
        <v>#REF!</v>
      </c>
      <c r="I41" s="19" t="s">
        <v>241</v>
      </c>
      <c r="J41" s="21">
        <f>(IF(L41&gt;0,1,0)+(IF(__xlnm._FilterDatabase_158[[#This Row],[Jan2]]&gt;0,1,0))+(IF(__xlnm._FilterDatabase_158[[#This Row],[Feb2]]&gt;0,1,0))+(IF(N41&gt;0,1,0))+(IF(P41&gt;0,1,0))+(IF(Q41&gt;0,1,0))+(IF(R41&gt;0,1,0))+(IF(T41&gt;0,1,0))+(IF(U41&gt;0,1,0))+(IF(V41&gt;0,1,0))+(IF(X41&gt;0,1,0))+(IF(Y41&gt;0,1,0))+(IF(Z41&gt;0,1,0))+(IF(AA41&gt;0,1,0))+(IF(AB41&gt;0,1,0))+(IF(AC41&gt;0,1,0))+(IF(AD41&gt;0,1,0))+(IF(AE41&gt;0,1,0))+(IF(AF41&gt;0,1,0))+(IF(AH41&gt;0,1,0))+(IF(AG41&gt;0,1,0))+(IF(__xlnm._FilterDatabase_158[[#This Row],[Apr2]]&gt;0,1,0)+(IF(__xlnm._FilterDatabase_158[[#This Row],[Jun2]]&gt;0,1,0))))</f>
        <v>0</v>
      </c>
      <c r="K41" s="22">
        <f t="shared" si="3"/>
        <v>0</v>
      </c>
      <c r="L41" s="23">
        <v>0</v>
      </c>
      <c r="M41" s="23">
        <v>0</v>
      </c>
      <c r="N41" s="24">
        <v>0</v>
      </c>
      <c r="O41" s="24">
        <v>0</v>
      </c>
      <c r="P41" s="23">
        <v>0</v>
      </c>
      <c r="Q41" s="23">
        <v>0</v>
      </c>
      <c r="R41" s="24">
        <v>0</v>
      </c>
      <c r="S41" s="24">
        <v>0</v>
      </c>
      <c r="T41" s="23">
        <v>0</v>
      </c>
      <c r="U41" s="23">
        <v>0</v>
      </c>
      <c r="V41" s="24">
        <v>0</v>
      </c>
      <c r="W41" s="24">
        <v>0</v>
      </c>
      <c r="X41" s="23">
        <v>0</v>
      </c>
      <c r="Y41" s="23">
        <v>0</v>
      </c>
      <c r="Z41" s="80">
        <v>0</v>
      </c>
      <c r="AA41" s="80">
        <v>0</v>
      </c>
      <c r="AB41" s="79">
        <v>0</v>
      </c>
      <c r="AC41" s="79">
        <v>0</v>
      </c>
      <c r="AD41" s="80">
        <v>0</v>
      </c>
      <c r="AE41" s="80">
        <v>0</v>
      </c>
      <c r="AF41" s="23">
        <v>0</v>
      </c>
      <c r="AG41" s="23">
        <v>0</v>
      </c>
      <c r="AH41" s="24">
        <v>0</v>
      </c>
      <c r="AI41" s="24">
        <v>0</v>
      </c>
    </row>
    <row r="42" spans="1:35" x14ac:dyDescent="0.3">
      <c r="A42" s="17">
        <f t="shared" si="4"/>
        <v>16</v>
      </c>
      <c r="B42" s="88">
        <v>7260</v>
      </c>
      <c r="C42" s="88">
        <f>_xlfn.XLOOKUP(__xlnm._FilterDatabase_158[[#This Row],[SAPSA Number]],Table1[SAPSA number],Table1[Paid up])</f>
        <v>0</v>
      </c>
      <c r="D42" s="39" t="str">
        <f>_xlfn.XLOOKUP(__xlnm._FilterDatabase_158[[#This Row],[SAPSA Number]],Table1[SAPSA number],Table1[Name])</f>
        <v>Glenn</v>
      </c>
      <c r="E42" s="39" t="str">
        <f>_xlfn.XLOOKUP(__xlnm._FilterDatabase_158[[#This Row],[SAPSA Number]],Table1[SAPSA number],Table1[Surname])</f>
        <v>Kieser</v>
      </c>
      <c r="F42" s="28" t="str">
        <f>_xlfn.XLOOKUP(__xlnm._FilterDatabase_158[[#This Row],[SAPSA Number]],Table1[SAPSA number],Table1[Initials])</f>
        <v>G</v>
      </c>
      <c r="G42" s="17" t="str">
        <f ca="1">_xlfn.XLOOKUP(__xlnm._FilterDatabase_158[[#This Row],[SAPSA Number]],Table1[SAPSA number],Table1[Gender])</f>
        <v>SS</v>
      </c>
      <c r="H42" s="19" t="e">
        <f>_xlfn.XLOOKUP(__xlnm._FilterDatabase_158[[#This Row],[SAPSA Number]],#REF!,#REF!)</f>
        <v>#REF!</v>
      </c>
      <c r="I42" s="19" t="s">
        <v>241</v>
      </c>
      <c r="J42" s="21">
        <f>(IF(L42&gt;0,1,0)+(IF(__xlnm._FilterDatabase_158[[#This Row],[Jan2]]&gt;0,1,0))+(IF(__xlnm._FilterDatabase_158[[#This Row],[Feb2]]&gt;0,1,0))+(IF(N42&gt;0,1,0))+(IF(P42&gt;0,1,0))+(IF(Q42&gt;0,1,0))+(IF(R42&gt;0,1,0))+(IF(T42&gt;0,1,0))+(IF(U42&gt;0,1,0))+(IF(V42&gt;0,1,0))+(IF(X42&gt;0,1,0))+(IF(Y42&gt;0,1,0))+(IF(Z42&gt;0,1,0))+(IF(AA42&gt;0,1,0))+(IF(AB42&gt;0,1,0))+(IF(AC42&gt;0,1,0))+(IF(AD42&gt;0,1,0))+(IF(AE42&gt;0,1,0))+(IF(AF42&gt;0,1,0))+(IF(AH42&gt;0,1,0))+(IF(AG42&gt;0,1,0))+(IF(__xlnm._FilterDatabase_158[[#This Row],[Apr2]]&gt;0,1,0)+(IF(__xlnm._FilterDatabase_158[[#This Row],[Jun2]]&gt;0,1,0))))</f>
        <v>0</v>
      </c>
      <c r="K42" s="22">
        <f t="shared" si="3"/>
        <v>0</v>
      </c>
      <c r="L42" s="23">
        <v>0</v>
      </c>
      <c r="M42" s="23">
        <v>0</v>
      </c>
      <c r="N42" s="24">
        <v>0</v>
      </c>
      <c r="O42" s="24">
        <v>0</v>
      </c>
      <c r="P42" s="23">
        <v>0</v>
      </c>
      <c r="Q42" s="23">
        <v>0</v>
      </c>
      <c r="R42" s="24">
        <v>0</v>
      </c>
      <c r="S42" s="24">
        <v>0</v>
      </c>
      <c r="T42" s="23">
        <v>0</v>
      </c>
      <c r="U42" s="23">
        <v>0</v>
      </c>
      <c r="V42" s="24">
        <v>0</v>
      </c>
      <c r="W42" s="24">
        <v>0</v>
      </c>
      <c r="X42" s="23">
        <v>0</v>
      </c>
      <c r="Y42" s="23">
        <v>0</v>
      </c>
      <c r="Z42" s="80">
        <v>0</v>
      </c>
      <c r="AA42" s="80">
        <v>0</v>
      </c>
      <c r="AB42" s="79">
        <v>0</v>
      </c>
      <c r="AC42" s="79">
        <v>0</v>
      </c>
      <c r="AD42" s="80">
        <v>0</v>
      </c>
      <c r="AE42" s="80">
        <v>0</v>
      </c>
      <c r="AF42" s="23">
        <v>0</v>
      </c>
      <c r="AG42" s="23">
        <v>0</v>
      </c>
      <c r="AH42" s="24">
        <v>0</v>
      </c>
      <c r="AI42" s="24">
        <v>0</v>
      </c>
    </row>
    <row r="43" spans="1:35" x14ac:dyDescent="0.3">
      <c r="A43" s="17">
        <f t="shared" si="4"/>
        <v>16</v>
      </c>
      <c r="B43" s="88">
        <v>252</v>
      </c>
      <c r="C43" s="88" t="str">
        <f>_xlfn.XLOOKUP(__xlnm._FilterDatabase_158[[#This Row],[SAPSA Number]],Table1[SAPSA number],Table1[Paid up])</f>
        <v>Y</v>
      </c>
      <c r="D43" s="39" t="str">
        <f>_xlfn.XLOOKUP(__xlnm._FilterDatabase_158[[#This Row],[SAPSA Number]],Table1[SAPSA number],Table1[Name])</f>
        <v>Deon</v>
      </c>
      <c r="E43" s="39" t="str">
        <f>_xlfn.XLOOKUP(__xlnm._FilterDatabase_158[[#This Row],[SAPSA Number]],Table1[SAPSA number],Table1[Surname])</f>
        <v>Labuschagne</v>
      </c>
      <c r="F43" s="28" t="str">
        <f>_xlfn.XLOOKUP(__xlnm._FilterDatabase_158[[#This Row],[SAPSA Number]],Table1[SAPSA number],Table1[Initials])</f>
        <v>D</v>
      </c>
      <c r="G43" s="17" t="str">
        <f ca="1">_xlfn.XLOOKUP(__xlnm._FilterDatabase_158[[#This Row],[SAPSA Number]],Table1[SAPSA number],Table1[Gender])</f>
        <v>GS</v>
      </c>
      <c r="H43" s="19" t="e">
        <f>_xlfn.XLOOKUP(__xlnm._FilterDatabase_158[[#This Row],[SAPSA Number]],#REF!,#REF!)</f>
        <v>#REF!</v>
      </c>
      <c r="I43" s="19" t="s">
        <v>241</v>
      </c>
      <c r="J43" s="21">
        <f>(IF(L43&gt;0,1,0)+(IF(__xlnm._FilterDatabase_158[[#This Row],[Jan2]]&gt;0,1,0))+(IF(__xlnm._FilterDatabase_158[[#This Row],[Feb2]]&gt;0,1,0))+(IF(N43&gt;0,1,0))+(IF(P43&gt;0,1,0))+(IF(Q43&gt;0,1,0))+(IF(R43&gt;0,1,0))+(IF(T43&gt;0,1,0))+(IF(U43&gt;0,1,0))+(IF(V43&gt;0,1,0))+(IF(X43&gt;0,1,0))+(IF(Y43&gt;0,1,0))+(IF(Z43&gt;0,1,0))+(IF(AA43&gt;0,1,0))+(IF(AB43&gt;0,1,0))+(IF(AC43&gt;0,1,0))+(IF(AD43&gt;0,1,0))+(IF(AE43&gt;0,1,0))+(IF(AF43&gt;0,1,0))+(IF(AH43&gt;0,1,0))+(IF(AG43&gt;0,1,0))+(IF(__xlnm._FilterDatabase_158[[#This Row],[Apr2]]&gt;0,1,0)+(IF(__xlnm._FilterDatabase_158[[#This Row],[Jun2]]&gt;0,1,0))))</f>
        <v>0</v>
      </c>
      <c r="K43" s="22">
        <f t="shared" si="3"/>
        <v>0</v>
      </c>
      <c r="L43" s="23">
        <v>0</v>
      </c>
      <c r="M43" s="23">
        <v>0</v>
      </c>
      <c r="N43" s="24">
        <v>0</v>
      </c>
      <c r="O43" s="24">
        <v>0</v>
      </c>
      <c r="P43" s="23">
        <v>0</v>
      </c>
      <c r="Q43" s="23">
        <v>0</v>
      </c>
      <c r="R43" s="24">
        <v>0</v>
      </c>
      <c r="S43" s="24">
        <v>0</v>
      </c>
      <c r="T43" s="23">
        <v>0</v>
      </c>
      <c r="U43" s="23">
        <v>0</v>
      </c>
      <c r="V43" s="24">
        <v>0</v>
      </c>
      <c r="W43" s="24">
        <v>0</v>
      </c>
      <c r="X43" s="23">
        <v>0</v>
      </c>
      <c r="Y43" s="23">
        <v>0</v>
      </c>
      <c r="Z43" s="80">
        <v>0</v>
      </c>
      <c r="AA43" s="80">
        <v>0</v>
      </c>
      <c r="AB43" s="79">
        <v>0</v>
      </c>
      <c r="AC43" s="79">
        <v>0</v>
      </c>
      <c r="AD43" s="80">
        <v>0</v>
      </c>
      <c r="AE43" s="80">
        <v>0</v>
      </c>
      <c r="AF43" s="23">
        <v>0</v>
      </c>
      <c r="AG43" s="23">
        <v>0</v>
      </c>
      <c r="AH43" s="24">
        <v>0</v>
      </c>
      <c r="AI43" s="24">
        <v>0</v>
      </c>
    </row>
    <row r="44" spans="1:35" x14ac:dyDescent="0.3">
      <c r="A44" s="17">
        <f t="shared" si="4"/>
        <v>16</v>
      </c>
      <c r="B44" s="18">
        <v>2651</v>
      </c>
      <c r="C44" s="88" t="str">
        <f>_xlfn.XLOOKUP(__xlnm._FilterDatabase_158[[#This Row],[SAPSA Number]],Table1[SAPSA number],Table1[Paid up])</f>
        <v>Y</v>
      </c>
      <c r="D44" s="39" t="str">
        <f>_xlfn.XLOOKUP(__xlnm._FilterDatabase_158[[#This Row],[SAPSA Number]],Table1[SAPSA number],Table1[Name])</f>
        <v>Paul Herman</v>
      </c>
      <c r="E44" s="39" t="str">
        <f>_xlfn.XLOOKUP(__xlnm._FilterDatabase_158[[#This Row],[SAPSA Number]],Table1[SAPSA number],Table1[Surname])</f>
        <v>Leuschner</v>
      </c>
      <c r="F44" s="28" t="str">
        <f>_xlfn.XLOOKUP(__xlnm._FilterDatabase_158[[#This Row],[SAPSA Number]],Table1[SAPSA number],Table1[Initials])</f>
        <v>PH</v>
      </c>
      <c r="G44" s="17" t="str">
        <f ca="1">_xlfn.XLOOKUP(__xlnm._FilterDatabase_158[[#This Row],[SAPSA Number]],Table1[SAPSA number],Table1[Gender])</f>
        <v>S</v>
      </c>
      <c r="H44" s="19" t="e">
        <f>_xlfn.XLOOKUP(__xlnm._FilterDatabase_158[[#This Row],[SAPSA Number]],#REF!,#REF!)</f>
        <v>#REF!</v>
      </c>
      <c r="I44" s="19" t="s">
        <v>241</v>
      </c>
      <c r="J44" s="21">
        <f>(IF(L44&gt;0,1,0)+(IF(__xlnm._FilterDatabase_158[[#This Row],[Jan2]]&gt;0,1,0))+(IF(__xlnm._FilterDatabase_158[[#This Row],[Feb2]]&gt;0,1,0))+(IF(N44&gt;0,1,0))+(IF(P44&gt;0,1,0))+(IF(Q44&gt;0,1,0))+(IF(R44&gt;0,1,0))+(IF(T44&gt;0,1,0))+(IF(U44&gt;0,1,0))+(IF(V44&gt;0,1,0))+(IF(X44&gt;0,1,0))+(IF(Y44&gt;0,1,0))+(IF(Z44&gt;0,1,0))+(IF(AA44&gt;0,1,0))+(IF(AB44&gt;0,1,0))+(IF(AC44&gt;0,1,0))+(IF(AD44&gt;0,1,0))+(IF(AE44&gt;0,1,0))+(IF(AF44&gt;0,1,0))+(IF(AH44&gt;0,1,0))+(IF(AG44&gt;0,1,0))+(IF(__xlnm._FilterDatabase_158[[#This Row],[Apr2]]&gt;0,1,0)+(IF(__xlnm._FilterDatabase_158[[#This Row],[Jun2]]&gt;0,1,0))))</f>
        <v>0</v>
      </c>
      <c r="K44" s="22">
        <f t="shared" si="3"/>
        <v>0</v>
      </c>
      <c r="L44" s="23">
        <v>0</v>
      </c>
      <c r="M44" s="23">
        <v>0</v>
      </c>
      <c r="N44" s="24">
        <v>0</v>
      </c>
      <c r="O44" s="24">
        <v>0</v>
      </c>
      <c r="P44" s="23">
        <v>0</v>
      </c>
      <c r="Q44" s="23">
        <v>0</v>
      </c>
      <c r="R44" s="24">
        <v>0</v>
      </c>
      <c r="S44" s="24">
        <v>0</v>
      </c>
      <c r="T44" s="23">
        <v>0</v>
      </c>
      <c r="U44" s="23">
        <v>0</v>
      </c>
      <c r="V44" s="24">
        <v>0</v>
      </c>
      <c r="W44" s="24">
        <v>0</v>
      </c>
      <c r="X44" s="23">
        <v>0</v>
      </c>
      <c r="Y44" s="23">
        <v>0</v>
      </c>
      <c r="Z44" s="80">
        <v>0</v>
      </c>
      <c r="AA44" s="80">
        <v>0</v>
      </c>
      <c r="AB44" s="79">
        <v>0</v>
      </c>
      <c r="AC44" s="79">
        <v>0</v>
      </c>
      <c r="AD44" s="80">
        <v>0</v>
      </c>
      <c r="AE44" s="80">
        <v>0</v>
      </c>
      <c r="AF44" s="23">
        <v>0</v>
      </c>
      <c r="AG44" s="23">
        <v>0</v>
      </c>
      <c r="AH44" s="24">
        <v>0</v>
      </c>
      <c r="AI44" s="24">
        <v>0</v>
      </c>
    </row>
    <row r="45" spans="1:35" x14ac:dyDescent="0.3">
      <c r="A45" s="17">
        <f t="shared" si="4"/>
        <v>16</v>
      </c>
      <c r="B45" s="88">
        <v>683</v>
      </c>
      <c r="C45" s="88">
        <f>_xlfn.XLOOKUP(__xlnm._FilterDatabase_158[[#This Row],[SAPSA Number]],Table1[SAPSA number],Table1[Paid up])</f>
        <v>0</v>
      </c>
      <c r="D45" s="39" t="str">
        <f>_xlfn.XLOOKUP(__xlnm._FilterDatabase_158[[#This Row],[SAPSA Number]],Table1[SAPSA number],Table1[Name])</f>
        <v>Ivor</v>
      </c>
      <c r="E45" s="39" t="str">
        <f>_xlfn.XLOOKUP(__xlnm._FilterDatabase_158[[#This Row],[SAPSA Number]],Table1[SAPSA number],Table1[Surname])</f>
        <v>Marais</v>
      </c>
      <c r="F45" s="28" t="str">
        <f>_xlfn.XLOOKUP(__xlnm._FilterDatabase_158[[#This Row],[SAPSA Number]],Table1[SAPSA number],Table1[Initials])</f>
        <v>I</v>
      </c>
      <c r="G45" s="17" t="str">
        <f ca="1">_xlfn.XLOOKUP(__xlnm._FilterDatabase_158[[#This Row],[SAPSA Number]],Table1[SAPSA number],Table1[Gender])</f>
        <v>S</v>
      </c>
      <c r="H45" s="19" t="e">
        <f>_xlfn.XLOOKUP(__xlnm._FilterDatabase_158[[#This Row],[SAPSA Number]],#REF!,#REF!)</f>
        <v>#REF!</v>
      </c>
      <c r="I45" s="19" t="s">
        <v>241</v>
      </c>
      <c r="J45" s="21">
        <f>(IF(L45&gt;0,1,0)+(IF(__xlnm._FilterDatabase_158[[#This Row],[Jan2]]&gt;0,1,0))+(IF(__xlnm._FilterDatabase_158[[#This Row],[Feb2]]&gt;0,1,0))+(IF(N45&gt;0,1,0))+(IF(P45&gt;0,1,0))+(IF(Q45&gt;0,1,0))+(IF(R45&gt;0,1,0))+(IF(T45&gt;0,1,0))+(IF(U45&gt;0,1,0))+(IF(V45&gt;0,1,0))+(IF(X45&gt;0,1,0))+(IF(Y45&gt;0,1,0))+(IF(Z45&gt;0,1,0))+(IF(AA45&gt;0,1,0))+(IF(AB45&gt;0,1,0))+(IF(AC45&gt;0,1,0))+(IF(AD45&gt;0,1,0))+(IF(AE45&gt;0,1,0))+(IF(AF45&gt;0,1,0))+(IF(AH45&gt;0,1,0))+(IF(AG45&gt;0,1,0))+(IF(__xlnm._FilterDatabase_158[[#This Row],[Apr2]]&gt;0,1,0)+(IF(__xlnm._FilterDatabase_158[[#This Row],[Jun2]]&gt;0,1,0))))</f>
        <v>0</v>
      </c>
      <c r="K45" s="22">
        <f t="shared" si="3"/>
        <v>0</v>
      </c>
      <c r="L45" s="23">
        <v>0</v>
      </c>
      <c r="M45" s="23">
        <v>0</v>
      </c>
      <c r="N45" s="24">
        <v>0</v>
      </c>
      <c r="O45" s="24">
        <v>0</v>
      </c>
      <c r="P45" s="23">
        <v>0</v>
      </c>
      <c r="Q45" s="23">
        <v>0</v>
      </c>
      <c r="R45" s="24">
        <v>0</v>
      </c>
      <c r="S45" s="24">
        <v>0</v>
      </c>
      <c r="T45" s="23">
        <v>0</v>
      </c>
      <c r="U45" s="23">
        <v>0</v>
      </c>
      <c r="V45" s="24">
        <v>0</v>
      </c>
      <c r="W45" s="24">
        <v>0</v>
      </c>
      <c r="X45" s="23">
        <v>0</v>
      </c>
      <c r="Y45" s="23">
        <v>0</v>
      </c>
      <c r="Z45" s="80">
        <v>0</v>
      </c>
      <c r="AA45" s="80">
        <v>0</v>
      </c>
      <c r="AB45" s="79">
        <v>0</v>
      </c>
      <c r="AC45" s="79">
        <v>0</v>
      </c>
      <c r="AD45" s="80">
        <v>0</v>
      </c>
      <c r="AE45" s="80">
        <v>0</v>
      </c>
      <c r="AF45" s="23">
        <v>0</v>
      </c>
      <c r="AG45" s="23">
        <v>0</v>
      </c>
      <c r="AH45" s="24">
        <v>0</v>
      </c>
      <c r="AI45" s="24">
        <v>0</v>
      </c>
    </row>
    <row r="46" spans="1:35" x14ac:dyDescent="0.3">
      <c r="A46" s="17">
        <f t="shared" si="4"/>
        <v>16</v>
      </c>
      <c r="B46" s="89">
        <v>4862</v>
      </c>
      <c r="C46" s="88" t="str">
        <f>_xlfn.XLOOKUP(__xlnm._FilterDatabase_158[[#This Row],[SAPSA Number]],Table1[SAPSA number],Table1[Paid up])</f>
        <v>Y</v>
      </c>
      <c r="D46" s="39" t="str">
        <f>_xlfn.XLOOKUP(__xlnm._FilterDatabase_158[[#This Row],[SAPSA Number]],Table1[SAPSA number],Table1[Name])</f>
        <v>George Keith</v>
      </c>
      <c r="E46" s="39" t="str">
        <f>_xlfn.XLOOKUP(__xlnm._FilterDatabase_158[[#This Row],[SAPSA Number]],Table1[SAPSA number],Table1[Surname])</f>
        <v>Marais</v>
      </c>
      <c r="F46" s="28" t="str">
        <f>_xlfn.XLOOKUP(__xlnm._FilterDatabase_158[[#This Row],[SAPSA Number]],Table1[SAPSA number],Table1[Initials])</f>
        <v>GK</v>
      </c>
      <c r="G46" s="17" t="str">
        <f ca="1">_xlfn.XLOOKUP(__xlnm._FilterDatabase_158[[#This Row],[SAPSA Number]],Table1[SAPSA number],Table1[Gender])</f>
        <v>S</v>
      </c>
      <c r="H46" s="19" t="e">
        <f>_xlfn.XLOOKUP(__xlnm._FilterDatabase_158[[#This Row],[SAPSA Number]],#REF!,#REF!)</f>
        <v>#REF!</v>
      </c>
      <c r="I46" s="19" t="s">
        <v>241</v>
      </c>
      <c r="J46" s="21">
        <f>(IF(L46&gt;0,1,0)+(IF(__xlnm._FilterDatabase_158[[#This Row],[Jan2]]&gt;0,1,0))+(IF(__xlnm._FilterDatabase_158[[#This Row],[Feb2]]&gt;0,1,0))+(IF(N46&gt;0,1,0))+(IF(P46&gt;0,1,0))+(IF(Q46&gt;0,1,0))+(IF(R46&gt;0,1,0))+(IF(T46&gt;0,1,0))+(IF(U46&gt;0,1,0))+(IF(V46&gt;0,1,0))+(IF(X46&gt;0,1,0))+(IF(Y46&gt;0,1,0))+(IF(Z46&gt;0,1,0))+(IF(AA46&gt;0,1,0))+(IF(AB46&gt;0,1,0))+(IF(AC46&gt;0,1,0))+(IF(AD46&gt;0,1,0))+(IF(AE46&gt;0,1,0))+(IF(AF46&gt;0,1,0))+(IF(AH46&gt;0,1,0))+(IF(AG46&gt;0,1,0))+(IF(__xlnm._FilterDatabase_158[[#This Row],[Apr2]]&gt;0,1,0)+(IF(__xlnm._FilterDatabase_158[[#This Row],[Jun2]]&gt;0,1,0))))</f>
        <v>0</v>
      </c>
      <c r="K46" s="22">
        <f t="shared" si="3"/>
        <v>0</v>
      </c>
      <c r="L46" s="23">
        <v>0</v>
      </c>
      <c r="M46" s="23">
        <v>0</v>
      </c>
      <c r="N46" s="24">
        <v>0</v>
      </c>
      <c r="O46" s="24">
        <v>0</v>
      </c>
      <c r="P46" s="23">
        <v>0</v>
      </c>
      <c r="Q46" s="23">
        <v>0</v>
      </c>
      <c r="R46" s="24">
        <v>0</v>
      </c>
      <c r="S46" s="24">
        <v>0</v>
      </c>
      <c r="T46" s="23">
        <v>0</v>
      </c>
      <c r="U46" s="23">
        <v>0</v>
      </c>
      <c r="V46" s="24">
        <v>0</v>
      </c>
      <c r="W46" s="24">
        <v>0</v>
      </c>
      <c r="X46" s="23">
        <v>0</v>
      </c>
      <c r="Y46" s="23">
        <v>0</v>
      </c>
      <c r="Z46" s="80">
        <v>0</v>
      </c>
      <c r="AA46" s="80">
        <v>0</v>
      </c>
      <c r="AB46" s="79">
        <v>0</v>
      </c>
      <c r="AC46" s="79">
        <v>0</v>
      </c>
      <c r="AD46" s="80">
        <v>0</v>
      </c>
      <c r="AE46" s="80">
        <v>0</v>
      </c>
      <c r="AF46" s="23">
        <v>0</v>
      </c>
      <c r="AG46" s="23">
        <v>0</v>
      </c>
      <c r="AH46" s="24">
        <v>0</v>
      </c>
      <c r="AI46" s="24">
        <v>0</v>
      </c>
    </row>
    <row r="47" spans="1:35" x14ac:dyDescent="0.3">
      <c r="A47" s="17">
        <f t="shared" si="4"/>
        <v>16</v>
      </c>
      <c r="B47" s="89">
        <v>6966</v>
      </c>
      <c r="C47" s="88" t="str">
        <f>_xlfn.XLOOKUP(__xlnm._FilterDatabase_158[[#This Row],[SAPSA Number]],Table1[SAPSA number],Table1[Paid up])</f>
        <v>Y</v>
      </c>
      <c r="D47" s="39" t="str">
        <f>_xlfn.XLOOKUP(__xlnm._FilterDatabase_158[[#This Row],[SAPSA Number]],Table1[SAPSA number],Table1[Name])</f>
        <v>James</v>
      </c>
      <c r="E47" s="39" t="str">
        <f>_xlfn.XLOOKUP(__xlnm._FilterDatabase_158[[#This Row],[SAPSA Number]],Table1[SAPSA number],Table1[Surname])</f>
        <v>Masonganye</v>
      </c>
      <c r="F47" s="28" t="str">
        <f>_xlfn.XLOOKUP(__xlnm._FilterDatabase_158[[#This Row],[SAPSA Number]],Table1[SAPSA number],Table1[Initials])</f>
        <v>J</v>
      </c>
      <c r="G47" s="17" t="str">
        <f ca="1">_xlfn.XLOOKUP(__xlnm._FilterDatabase_158[[#This Row],[SAPSA Number]],Table1[SAPSA number],Table1[Gender])</f>
        <v>S</v>
      </c>
      <c r="H47" s="19" t="e">
        <f>_xlfn.XLOOKUP(__xlnm._FilterDatabase_158[[#This Row],[SAPSA Number]],#REF!,#REF!)</f>
        <v>#REF!</v>
      </c>
      <c r="I47" s="19" t="s">
        <v>241</v>
      </c>
      <c r="J47" s="21">
        <f>(IF(L47&gt;0,1,0)+(IF(__xlnm._FilterDatabase_158[[#This Row],[Jan2]]&gt;0,1,0))+(IF(__xlnm._FilterDatabase_158[[#This Row],[Feb2]]&gt;0,1,0))+(IF(N47&gt;0,1,0))+(IF(P47&gt;0,1,0))+(IF(Q47&gt;0,1,0))+(IF(R47&gt;0,1,0))+(IF(T47&gt;0,1,0))+(IF(U47&gt;0,1,0))+(IF(V47&gt;0,1,0))+(IF(X47&gt;0,1,0))+(IF(Y47&gt;0,1,0))+(IF(Z47&gt;0,1,0))+(IF(AA47&gt;0,1,0))+(IF(AB47&gt;0,1,0))+(IF(AC47&gt;0,1,0))+(IF(AD47&gt;0,1,0))+(IF(AE47&gt;0,1,0))+(IF(AF47&gt;0,1,0))+(IF(AH47&gt;0,1,0))+(IF(AG47&gt;0,1,0))+(IF(__xlnm._FilterDatabase_158[[#This Row],[Apr2]]&gt;0,1,0)+(IF(__xlnm._FilterDatabase_158[[#This Row],[Jun2]]&gt;0,1,0))))</f>
        <v>0</v>
      </c>
      <c r="K47" s="22">
        <f t="shared" si="3"/>
        <v>0</v>
      </c>
      <c r="L47" s="23">
        <v>0</v>
      </c>
      <c r="M47" s="23">
        <v>0</v>
      </c>
      <c r="N47" s="24">
        <v>0</v>
      </c>
      <c r="O47" s="24">
        <v>0</v>
      </c>
      <c r="P47" s="23">
        <v>0</v>
      </c>
      <c r="Q47" s="23">
        <v>0</v>
      </c>
      <c r="R47" s="24">
        <v>0</v>
      </c>
      <c r="S47" s="24">
        <v>0</v>
      </c>
      <c r="T47" s="23">
        <v>0</v>
      </c>
      <c r="U47" s="23">
        <v>0</v>
      </c>
      <c r="V47" s="24">
        <v>0</v>
      </c>
      <c r="W47" s="24">
        <v>0</v>
      </c>
      <c r="X47" s="23">
        <v>0</v>
      </c>
      <c r="Y47" s="23">
        <v>0</v>
      </c>
      <c r="Z47" s="80">
        <v>0</v>
      </c>
      <c r="AA47" s="80">
        <v>0</v>
      </c>
      <c r="AB47" s="79">
        <v>0</v>
      </c>
      <c r="AC47" s="79">
        <v>0</v>
      </c>
      <c r="AD47" s="80">
        <v>0</v>
      </c>
      <c r="AE47" s="80">
        <v>0</v>
      </c>
      <c r="AF47" s="23">
        <v>0</v>
      </c>
      <c r="AG47" s="23">
        <v>0</v>
      </c>
      <c r="AH47" s="24">
        <v>0</v>
      </c>
      <c r="AI47" s="24">
        <v>0</v>
      </c>
    </row>
    <row r="48" spans="1:35" x14ac:dyDescent="0.3">
      <c r="A48" s="17">
        <f t="shared" si="4"/>
        <v>16</v>
      </c>
      <c r="B48" s="89">
        <v>7132</v>
      </c>
      <c r="C48" s="88" t="str">
        <f>_xlfn.XLOOKUP(__xlnm._FilterDatabase_158[[#This Row],[SAPSA Number]],Table1[SAPSA number],Table1[Paid up])</f>
        <v>Y</v>
      </c>
      <c r="D48" s="39" t="str">
        <f>_xlfn.XLOOKUP(__xlnm._FilterDatabase_158[[#This Row],[SAPSA Number]],Table1[SAPSA number],Table1[Name])</f>
        <v>Yussuf</v>
      </c>
      <c r="E48" s="39" t="str">
        <f>_xlfn.XLOOKUP(__xlnm._FilterDatabase_158[[#This Row],[SAPSA Number]],Table1[SAPSA number],Table1[Surname])</f>
        <v>Mayet</v>
      </c>
      <c r="F48" s="28" t="str">
        <f>_xlfn.XLOOKUP(__xlnm._FilterDatabase_158[[#This Row],[SAPSA Number]],Table1[SAPSA number],Table1[Initials])</f>
        <v>Y</v>
      </c>
      <c r="G48" s="17" t="str">
        <f ca="1">_xlfn.XLOOKUP(__xlnm._FilterDatabase_158[[#This Row],[SAPSA Number]],Table1[SAPSA number],Table1[Gender])</f>
        <v>GS</v>
      </c>
      <c r="H48" s="19" t="e">
        <f>_xlfn.XLOOKUP(__xlnm._FilterDatabase_158[[#This Row],[SAPSA Number]],#REF!,#REF!)</f>
        <v>#REF!</v>
      </c>
      <c r="I48" s="19" t="s">
        <v>241</v>
      </c>
      <c r="J48" s="21">
        <f>(IF(L48&gt;0,1,0)+(IF(__xlnm._FilterDatabase_158[[#This Row],[Jan2]]&gt;0,1,0))+(IF(__xlnm._FilterDatabase_158[[#This Row],[Feb2]]&gt;0,1,0))+(IF(N48&gt;0,1,0))+(IF(P48&gt;0,1,0))+(IF(Q48&gt;0,1,0))+(IF(R48&gt;0,1,0))+(IF(T48&gt;0,1,0))+(IF(U48&gt;0,1,0))+(IF(V48&gt;0,1,0))+(IF(X48&gt;0,1,0))+(IF(Y48&gt;0,1,0))+(IF(Z48&gt;0,1,0))+(IF(AA48&gt;0,1,0))+(IF(AB48&gt;0,1,0))+(IF(AC48&gt;0,1,0))+(IF(AD48&gt;0,1,0))+(IF(AE48&gt;0,1,0))+(IF(AF48&gt;0,1,0))+(IF(AH48&gt;0,1,0))+(IF(AG48&gt;0,1,0))+(IF(__xlnm._FilterDatabase_158[[#This Row],[Apr2]]&gt;0,1,0)+(IF(__xlnm._FilterDatabase_158[[#This Row],[Jun2]]&gt;0,1,0))))</f>
        <v>0</v>
      </c>
      <c r="K48" s="22">
        <f t="shared" si="3"/>
        <v>0</v>
      </c>
      <c r="L48" s="23">
        <v>0</v>
      </c>
      <c r="M48" s="23">
        <v>0</v>
      </c>
      <c r="N48" s="24">
        <v>0</v>
      </c>
      <c r="O48" s="24">
        <v>0</v>
      </c>
      <c r="P48" s="23">
        <v>0</v>
      </c>
      <c r="Q48" s="23">
        <v>0</v>
      </c>
      <c r="R48" s="24">
        <v>0</v>
      </c>
      <c r="S48" s="24">
        <v>0</v>
      </c>
      <c r="T48" s="23">
        <v>0</v>
      </c>
      <c r="U48" s="23">
        <v>0</v>
      </c>
      <c r="V48" s="24">
        <v>0</v>
      </c>
      <c r="W48" s="24">
        <v>0</v>
      </c>
      <c r="X48" s="23">
        <v>0</v>
      </c>
      <c r="Y48" s="23">
        <v>0</v>
      </c>
      <c r="Z48" s="80">
        <v>0</v>
      </c>
      <c r="AA48" s="80">
        <v>0</v>
      </c>
      <c r="AB48" s="79">
        <v>0</v>
      </c>
      <c r="AC48" s="79">
        <v>0</v>
      </c>
      <c r="AD48" s="80">
        <v>0</v>
      </c>
      <c r="AE48" s="80">
        <v>0</v>
      </c>
      <c r="AF48" s="23">
        <v>0</v>
      </c>
      <c r="AG48" s="23">
        <v>0</v>
      </c>
      <c r="AH48" s="24">
        <v>0</v>
      </c>
      <c r="AI48" s="24">
        <v>0</v>
      </c>
    </row>
    <row r="49" spans="1:35" x14ac:dyDescent="0.3">
      <c r="A49" s="17">
        <f t="shared" si="4"/>
        <v>16</v>
      </c>
      <c r="B49" s="88">
        <v>851</v>
      </c>
      <c r="C49" s="88" t="str">
        <f>_xlfn.XLOOKUP(__xlnm._FilterDatabase_158[[#This Row],[SAPSA Number]],Table1[SAPSA number],Table1[Paid up])</f>
        <v>Y</v>
      </c>
      <c r="D49" s="39" t="str">
        <f>_xlfn.XLOOKUP(__xlnm._FilterDatabase_158[[#This Row],[SAPSA Number]],Table1[SAPSA number],Table1[Name])</f>
        <v>Ian David</v>
      </c>
      <c r="E49" s="39" t="str">
        <f>_xlfn.XLOOKUP(__xlnm._FilterDatabase_158[[#This Row],[SAPSA Number]],Table1[SAPSA number],Table1[Surname])</f>
        <v>McLaren</v>
      </c>
      <c r="F49" s="28" t="str">
        <f>_xlfn.XLOOKUP(__xlnm._FilterDatabase_158[[#This Row],[SAPSA Number]],Table1[SAPSA number],Table1[Initials])</f>
        <v>ID</v>
      </c>
      <c r="G49" s="17" t="str">
        <f ca="1">_xlfn.XLOOKUP(__xlnm._FilterDatabase_158[[#This Row],[SAPSA Number]],Table1[SAPSA number],Table1[Gender])</f>
        <v>SS</v>
      </c>
      <c r="H49" s="19" t="e">
        <f>_xlfn.XLOOKUP(__xlnm._FilterDatabase_158[[#This Row],[SAPSA Number]],#REF!,#REF!)</f>
        <v>#REF!</v>
      </c>
      <c r="I49" s="19" t="s">
        <v>241</v>
      </c>
      <c r="J49" s="21">
        <f>(IF(L49&gt;0,1,0)+(IF(__xlnm._FilterDatabase_158[[#This Row],[Jan2]]&gt;0,1,0))+(IF(__xlnm._FilterDatabase_158[[#This Row],[Feb2]]&gt;0,1,0))+(IF(N49&gt;0,1,0))+(IF(P49&gt;0,1,0))+(IF(Q49&gt;0,1,0))+(IF(R49&gt;0,1,0))+(IF(T49&gt;0,1,0))+(IF(U49&gt;0,1,0))+(IF(V49&gt;0,1,0))+(IF(X49&gt;0,1,0))+(IF(Y49&gt;0,1,0))+(IF(Z49&gt;0,1,0))+(IF(AA49&gt;0,1,0))+(IF(AB49&gt;0,1,0))+(IF(AC49&gt;0,1,0))+(IF(AD49&gt;0,1,0))+(IF(AE49&gt;0,1,0))+(IF(AF49&gt;0,1,0))+(IF(AH49&gt;0,1,0))+(IF(AG49&gt;0,1,0))+(IF(__xlnm._FilterDatabase_158[[#This Row],[Apr2]]&gt;0,1,0)+(IF(__xlnm._FilterDatabase_158[[#This Row],[Jun2]]&gt;0,1,0))))</f>
        <v>0</v>
      </c>
      <c r="K49" s="22">
        <f t="shared" si="3"/>
        <v>0</v>
      </c>
      <c r="L49" s="23">
        <v>0</v>
      </c>
      <c r="M49" s="23">
        <v>0</v>
      </c>
      <c r="N49" s="24">
        <v>0</v>
      </c>
      <c r="O49" s="24">
        <v>0</v>
      </c>
      <c r="P49" s="23">
        <v>0</v>
      </c>
      <c r="Q49" s="23">
        <v>0</v>
      </c>
      <c r="R49" s="24">
        <v>0</v>
      </c>
      <c r="S49" s="24">
        <v>0</v>
      </c>
      <c r="T49" s="23">
        <v>0</v>
      </c>
      <c r="U49" s="23">
        <v>0</v>
      </c>
      <c r="V49" s="24">
        <v>0</v>
      </c>
      <c r="W49" s="24">
        <v>0</v>
      </c>
      <c r="X49" s="23">
        <v>0</v>
      </c>
      <c r="Y49" s="23">
        <v>0</v>
      </c>
      <c r="Z49" s="80">
        <v>0</v>
      </c>
      <c r="AA49" s="80">
        <v>0</v>
      </c>
      <c r="AB49" s="79">
        <v>0</v>
      </c>
      <c r="AC49" s="79">
        <v>0</v>
      </c>
      <c r="AD49" s="80">
        <v>0</v>
      </c>
      <c r="AE49" s="80">
        <v>0</v>
      </c>
      <c r="AF49" s="23">
        <v>0</v>
      </c>
      <c r="AG49" s="23">
        <v>0</v>
      </c>
      <c r="AH49" s="24">
        <v>0</v>
      </c>
      <c r="AI49" s="24">
        <v>0</v>
      </c>
    </row>
    <row r="50" spans="1:35" x14ac:dyDescent="0.3">
      <c r="A50" s="17">
        <f t="shared" si="4"/>
        <v>16</v>
      </c>
      <c r="B50" s="89">
        <v>5200</v>
      </c>
      <c r="C50" s="88">
        <f>_xlfn.XLOOKUP(__xlnm._FilterDatabase_158[[#This Row],[SAPSA Number]],Table1[SAPSA number],Table1[Paid up])</f>
        <v>0</v>
      </c>
      <c r="D50" s="39" t="str">
        <f>_xlfn.XLOOKUP(__xlnm._FilterDatabase_158[[#This Row],[SAPSA Number]],Table1[SAPSA number],Table1[Name])</f>
        <v>Daniel</v>
      </c>
      <c r="E50" s="39" t="str">
        <f>_xlfn.XLOOKUP(__xlnm._FilterDatabase_158[[#This Row],[SAPSA Number]],Table1[SAPSA number],Table1[Surname])</f>
        <v>McWilliam</v>
      </c>
      <c r="F50" s="28" t="str">
        <f>_xlfn.XLOOKUP(__xlnm._FilterDatabase_158[[#This Row],[SAPSA Number]],Table1[SAPSA number],Table1[Initials])</f>
        <v>D</v>
      </c>
      <c r="G50" s="17" t="str">
        <f ca="1">_xlfn.XLOOKUP(__xlnm._FilterDatabase_158[[#This Row],[SAPSA Number]],Table1[SAPSA number],Table1[Gender])</f>
        <v xml:space="preserve"> </v>
      </c>
      <c r="H50" s="19" t="e">
        <f>_xlfn.XLOOKUP(__xlnm._FilterDatabase_158[[#This Row],[SAPSA Number]],#REF!,#REF!)</f>
        <v>#REF!</v>
      </c>
      <c r="I50" s="19" t="s">
        <v>241</v>
      </c>
      <c r="J50" s="21">
        <f>(IF(L50&gt;0,1,0)+(IF(__xlnm._FilterDatabase_158[[#This Row],[Jan2]]&gt;0,1,0))+(IF(__xlnm._FilterDatabase_158[[#This Row],[Feb2]]&gt;0,1,0))+(IF(N50&gt;0,1,0))+(IF(P50&gt;0,1,0))+(IF(Q50&gt;0,1,0))+(IF(R50&gt;0,1,0))+(IF(T50&gt;0,1,0))+(IF(U50&gt;0,1,0))+(IF(V50&gt;0,1,0))+(IF(X50&gt;0,1,0))+(IF(Y50&gt;0,1,0))+(IF(Z50&gt;0,1,0))+(IF(AA50&gt;0,1,0))+(IF(AB50&gt;0,1,0))+(IF(AC50&gt;0,1,0))+(IF(AD50&gt;0,1,0))+(IF(AE50&gt;0,1,0))+(IF(AF50&gt;0,1,0))+(IF(AH50&gt;0,1,0))+(IF(AG50&gt;0,1,0))+(IF(__xlnm._FilterDatabase_158[[#This Row],[Apr2]]&gt;0,1,0)+(IF(__xlnm._FilterDatabase_158[[#This Row],[Jun2]]&gt;0,1,0))))</f>
        <v>0</v>
      </c>
      <c r="K50" s="22">
        <f t="shared" si="3"/>
        <v>0</v>
      </c>
      <c r="L50" s="23">
        <v>0</v>
      </c>
      <c r="M50" s="23">
        <v>0</v>
      </c>
      <c r="N50" s="24">
        <v>0</v>
      </c>
      <c r="O50" s="24">
        <v>0</v>
      </c>
      <c r="P50" s="23">
        <v>0</v>
      </c>
      <c r="Q50" s="23">
        <v>0</v>
      </c>
      <c r="R50" s="24">
        <v>0</v>
      </c>
      <c r="S50" s="24">
        <v>0</v>
      </c>
      <c r="T50" s="23">
        <v>0</v>
      </c>
      <c r="U50" s="23">
        <v>0</v>
      </c>
      <c r="V50" s="24">
        <v>0</v>
      </c>
      <c r="W50" s="24">
        <v>0</v>
      </c>
      <c r="X50" s="23">
        <v>0</v>
      </c>
      <c r="Y50" s="23">
        <v>0</v>
      </c>
      <c r="Z50" s="80">
        <v>0</v>
      </c>
      <c r="AA50" s="80">
        <v>0</v>
      </c>
      <c r="AB50" s="79">
        <v>0</v>
      </c>
      <c r="AC50" s="79">
        <v>0</v>
      </c>
      <c r="AD50" s="80">
        <v>0</v>
      </c>
      <c r="AE50" s="80">
        <v>0</v>
      </c>
      <c r="AF50" s="23">
        <v>0</v>
      </c>
      <c r="AG50" s="23">
        <v>0</v>
      </c>
      <c r="AH50" s="24">
        <v>0</v>
      </c>
      <c r="AI50" s="24">
        <v>0</v>
      </c>
    </row>
    <row r="51" spans="1:35" x14ac:dyDescent="0.3">
      <c r="A51" s="17">
        <f t="shared" si="4"/>
        <v>16</v>
      </c>
      <c r="B51" s="88">
        <v>1771</v>
      </c>
      <c r="C51" s="88" t="str">
        <f>_xlfn.XLOOKUP(__xlnm._FilterDatabase_158[[#This Row],[SAPSA Number]],Table1[SAPSA number],Table1[Paid up])</f>
        <v>Y</v>
      </c>
      <c r="D51" s="39" t="str">
        <f>_xlfn.XLOOKUP(__xlnm._FilterDatabase_158[[#This Row],[SAPSA Number]],Table1[SAPSA number],Table1[Name])</f>
        <v>Rodney Ralph</v>
      </c>
      <c r="E51" s="39" t="str">
        <f>_xlfn.XLOOKUP(__xlnm._FilterDatabase_158[[#This Row],[SAPSA Number]],Table1[SAPSA number],Table1[Surname])</f>
        <v>Mills</v>
      </c>
      <c r="F51" s="28" t="str">
        <f>_xlfn.XLOOKUP(__xlnm._FilterDatabase_158[[#This Row],[SAPSA Number]],Table1[SAPSA number],Table1[Initials])</f>
        <v>RR</v>
      </c>
      <c r="G51" s="17" t="str">
        <f ca="1">_xlfn.XLOOKUP(__xlnm._FilterDatabase_158[[#This Row],[SAPSA Number]],Table1[SAPSA number],Table1[Gender])</f>
        <v>GS</v>
      </c>
      <c r="H51" s="19" t="e">
        <f>_xlfn.XLOOKUP(__xlnm._FilterDatabase_158[[#This Row],[SAPSA Number]],#REF!,#REF!)</f>
        <v>#REF!</v>
      </c>
      <c r="I51" s="19" t="s">
        <v>241</v>
      </c>
      <c r="J51" s="21">
        <f>(IF(L51&gt;0,1,0)+(IF(__xlnm._FilterDatabase_158[[#This Row],[Jan2]]&gt;0,1,0))+(IF(__xlnm._FilterDatabase_158[[#This Row],[Feb2]]&gt;0,1,0))+(IF(N51&gt;0,1,0))+(IF(P51&gt;0,1,0))+(IF(Q51&gt;0,1,0))+(IF(R51&gt;0,1,0))+(IF(T51&gt;0,1,0))+(IF(U51&gt;0,1,0))+(IF(V51&gt;0,1,0))+(IF(X51&gt;0,1,0))+(IF(Y51&gt;0,1,0))+(IF(Z51&gt;0,1,0))+(IF(AA51&gt;0,1,0))+(IF(AB51&gt;0,1,0))+(IF(AC51&gt;0,1,0))+(IF(AD51&gt;0,1,0))+(IF(AE51&gt;0,1,0))+(IF(AF51&gt;0,1,0))+(IF(AH51&gt;0,1,0))+(IF(AG51&gt;0,1,0))+(IF(__xlnm._FilterDatabase_158[[#This Row],[Apr2]]&gt;0,1,0)+(IF(__xlnm._FilterDatabase_158[[#This Row],[Jun2]]&gt;0,1,0))))</f>
        <v>0</v>
      </c>
      <c r="K51" s="22">
        <f t="shared" si="3"/>
        <v>0</v>
      </c>
      <c r="L51" s="23">
        <v>0</v>
      </c>
      <c r="M51" s="23">
        <v>0</v>
      </c>
      <c r="N51" s="24">
        <v>0</v>
      </c>
      <c r="O51" s="24">
        <v>0</v>
      </c>
      <c r="P51" s="23">
        <v>0</v>
      </c>
      <c r="Q51" s="23">
        <v>0</v>
      </c>
      <c r="R51" s="24">
        <v>0</v>
      </c>
      <c r="S51" s="24">
        <v>0</v>
      </c>
      <c r="T51" s="23">
        <v>0</v>
      </c>
      <c r="U51" s="23">
        <v>0</v>
      </c>
      <c r="V51" s="24">
        <v>0</v>
      </c>
      <c r="W51" s="24">
        <v>0</v>
      </c>
      <c r="X51" s="23">
        <v>0</v>
      </c>
      <c r="Y51" s="23">
        <v>0</v>
      </c>
      <c r="Z51" s="80">
        <v>0</v>
      </c>
      <c r="AA51" s="80">
        <v>0</v>
      </c>
      <c r="AB51" s="79">
        <v>0</v>
      </c>
      <c r="AC51" s="79">
        <v>0</v>
      </c>
      <c r="AD51" s="80">
        <v>0</v>
      </c>
      <c r="AE51" s="80">
        <v>0</v>
      </c>
      <c r="AF51" s="23">
        <v>0</v>
      </c>
      <c r="AG51" s="23">
        <v>0</v>
      </c>
      <c r="AH51" s="24">
        <v>0</v>
      </c>
      <c r="AI51" s="24">
        <v>0</v>
      </c>
    </row>
    <row r="52" spans="1:35" x14ac:dyDescent="0.3">
      <c r="A52" s="17">
        <f t="shared" si="4"/>
        <v>16</v>
      </c>
      <c r="B52" s="88">
        <v>1637</v>
      </c>
      <c r="C52" s="88">
        <f>_xlfn.XLOOKUP(__xlnm._FilterDatabase_158[[#This Row],[SAPSA Number]],Table1[SAPSA number],Table1[Paid up])</f>
        <v>0</v>
      </c>
      <c r="D52" s="39" t="str">
        <f>_xlfn.XLOOKUP(__xlnm._FilterDatabase_158[[#This Row],[SAPSA Number]],Table1[SAPSA number],Table1[Name])</f>
        <v>Andre Johann Pieter</v>
      </c>
      <c r="E52" s="39" t="str">
        <f>_xlfn.XLOOKUP(__xlnm._FilterDatabase_158[[#This Row],[SAPSA Number]],Table1[SAPSA number],Table1[Surname])</f>
        <v>Mouton</v>
      </c>
      <c r="F52" s="28" t="str">
        <f>_xlfn.XLOOKUP(__xlnm._FilterDatabase_158[[#This Row],[SAPSA Number]],Table1[SAPSA number],Table1[Initials])</f>
        <v>AJP</v>
      </c>
      <c r="G52" s="17" t="str">
        <f ca="1">_xlfn.XLOOKUP(__xlnm._FilterDatabase_158[[#This Row],[SAPSA Number]],Table1[SAPSA number],Table1[Gender])</f>
        <v>GS</v>
      </c>
      <c r="H52" s="19" t="e">
        <f>_xlfn.XLOOKUP(__xlnm._FilterDatabase_158[[#This Row],[SAPSA Number]],#REF!,#REF!)</f>
        <v>#REF!</v>
      </c>
      <c r="I52" s="19" t="s">
        <v>241</v>
      </c>
      <c r="J52" s="21">
        <f>(IF(L52&gt;0,1,0)+(IF(__xlnm._FilterDatabase_158[[#This Row],[Jan2]]&gt;0,1,0))+(IF(__xlnm._FilterDatabase_158[[#This Row],[Feb2]]&gt;0,1,0))+(IF(N52&gt;0,1,0))+(IF(P52&gt;0,1,0))+(IF(Q52&gt;0,1,0))+(IF(R52&gt;0,1,0))+(IF(T52&gt;0,1,0))+(IF(U52&gt;0,1,0))+(IF(V52&gt;0,1,0))+(IF(X52&gt;0,1,0))+(IF(Y52&gt;0,1,0))+(IF(Z52&gt;0,1,0))+(IF(AA52&gt;0,1,0))+(IF(AB52&gt;0,1,0))+(IF(AC52&gt;0,1,0))+(IF(AD52&gt;0,1,0))+(IF(AE52&gt;0,1,0))+(IF(AF52&gt;0,1,0))+(IF(AH52&gt;0,1,0))+(IF(AG52&gt;0,1,0))+(IF(__xlnm._FilterDatabase_158[[#This Row],[Apr2]]&gt;0,1,0)+(IF(__xlnm._FilterDatabase_158[[#This Row],[Jun2]]&gt;0,1,0))))</f>
        <v>0</v>
      </c>
      <c r="K52" s="22">
        <f t="shared" si="3"/>
        <v>0</v>
      </c>
      <c r="L52" s="23">
        <v>0</v>
      </c>
      <c r="M52" s="23">
        <v>0</v>
      </c>
      <c r="N52" s="24">
        <v>0</v>
      </c>
      <c r="O52" s="24">
        <v>0</v>
      </c>
      <c r="P52" s="23">
        <v>0</v>
      </c>
      <c r="Q52" s="23">
        <v>0</v>
      </c>
      <c r="R52" s="24">
        <v>0</v>
      </c>
      <c r="S52" s="24">
        <v>0</v>
      </c>
      <c r="T52" s="23">
        <v>0</v>
      </c>
      <c r="U52" s="23">
        <v>0</v>
      </c>
      <c r="V52" s="24">
        <v>0</v>
      </c>
      <c r="W52" s="24">
        <v>0</v>
      </c>
      <c r="X52" s="23">
        <v>0</v>
      </c>
      <c r="Y52" s="23">
        <v>0</v>
      </c>
      <c r="Z52" s="80">
        <v>0</v>
      </c>
      <c r="AA52" s="80">
        <v>0</v>
      </c>
      <c r="AB52" s="79">
        <v>0</v>
      </c>
      <c r="AC52" s="79">
        <v>0</v>
      </c>
      <c r="AD52" s="80">
        <v>0</v>
      </c>
      <c r="AE52" s="80">
        <v>0</v>
      </c>
      <c r="AF52" s="23">
        <v>0</v>
      </c>
      <c r="AG52" s="23">
        <v>0</v>
      </c>
      <c r="AH52" s="24">
        <v>0</v>
      </c>
      <c r="AI52" s="24">
        <v>0</v>
      </c>
    </row>
    <row r="53" spans="1:35" x14ac:dyDescent="0.3">
      <c r="A53" s="17">
        <f t="shared" si="4"/>
        <v>16</v>
      </c>
      <c r="B53" s="18">
        <v>1777</v>
      </c>
      <c r="C53" s="88" t="str">
        <f>_xlfn.XLOOKUP(__xlnm._FilterDatabase_158[[#This Row],[SAPSA Number]],Table1[SAPSA number],Table1[Paid up])</f>
        <v>Y</v>
      </c>
      <c r="D53" s="39" t="str">
        <f>_xlfn.XLOOKUP(__xlnm._FilterDatabase_158[[#This Row],[SAPSA Number]],Table1[SAPSA number],Table1[Name])</f>
        <v xml:space="preserve">Leon </v>
      </c>
      <c r="E53" s="39" t="str">
        <f>_xlfn.XLOOKUP(__xlnm._FilterDatabase_158[[#This Row],[SAPSA Number]],Table1[SAPSA number],Table1[Surname])</f>
        <v>Myburgh</v>
      </c>
      <c r="F53" s="28" t="str">
        <f>_xlfn.XLOOKUP(__xlnm._FilterDatabase_158[[#This Row],[SAPSA Number]],Table1[SAPSA number],Table1[Initials])</f>
        <v>LC</v>
      </c>
      <c r="G53" s="17" t="str">
        <f ca="1">_xlfn.XLOOKUP(__xlnm._FilterDatabase_158[[#This Row],[SAPSA Number]],Table1[SAPSA number],Table1[Gender])</f>
        <v>S</v>
      </c>
      <c r="H53" s="19" t="e">
        <f>_xlfn.XLOOKUP(__xlnm._FilterDatabase_158[[#This Row],[SAPSA Number]],#REF!,#REF!)</f>
        <v>#REF!</v>
      </c>
      <c r="I53" s="19" t="s">
        <v>241</v>
      </c>
      <c r="J53" s="21">
        <f>(IF(L53&gt;0,1,0)+(IF(__xlnm._FilterDatabase_158[[#This Row],[Jan2]]&gt;0,1,0))+(IF(__xlnm._FilterDatabase_158[[#This Row],[Feb2]]&gt;0,1,0))+(IF(N53&gt;0,1,0))+(IF(P53&gt;0,1,0))+(IF(Q53&gt;0,1,0))+(IF(R53&gt;0,1,0))+(IF(T53&gt;0,1,0))+(IF(U53&gt;0,1,0))+(IF(V53&gt;0,1,0))+(IF(X53&gt;0,1,0))+(IF(Y53&gt;0,1,0))+(IF(Z53&gt;0,1,0))+(IF(AA53&gt;0,1,0))+(IF(AB53&gt;0,1,0))+(IF(AC53&gt;0,1,0))+(IF(AD53&gt;0,1,0))+(IF(AE53&gt;0,1,0))+(IF(AF53&gt;0,1,0))+(IF(AH53&gt;0,1,0))+(IF(AG53&gt;0,1,0))+(IF(__xlnm._FilterDatabase_158[[#This Row],[Apr2]]&gt;0,1,0)+(IF(__xlnm._FilterDatabase_158[[#This Row],[Jun2]]&gt;0,1,0))))</f>
        <v>0</v>
      </c>
      <c r="K53" s="22">
        <f t="shared" si="3"/>
        <v>0</v>
      </c>
      <c r="L53" s="23">
        <v>0</v>
      </c>
      <c r="M53" s="23">
        <v>0</v>
      </c>
      <c r="N53" s="24">
        <v>0</v>
      </c>
      <c r="O53" s="24">
        <v>0</v>
      </c>
      <c r="P53" s="23">
        <v>0</v>
      </c>
      <c r="Q53" s="23">
        <v>0</v>
      </c>
      <c r="R53" s="24">
        <v>0</v>
      </c>
      <c r="S53" s="24">
        <v>0</v>
      </c>
      <c r="T53" s="23">
        <v>0</v>
      </c>
      <c r="U53" s="23">
        <v>0</v>
      </c>
      <c r="V53" s="24">
        <v>0</v>
      </c>
      <c r="W53" s="24">
        <v>0</v>
      </c>
      <c r="X53" s="23">
        <v>0</v>
      </c>
      <c r="Y53" s="23">
        <v>0</v>
      </c>
      <c r="Z53" s="80">
        <v>0</v>
      </c>
      <c r="AA53" s="80">
        <v>0</v>
      </c>
      <c r="AB53" s="79">
        <v>0</v>
      </c>
      <c r="AC53" s="79">
        <v>0</v>
      </c>
      <c r="AD53" s="80">
        <v>0</v>
      </c>
      <c r="AE53" s="80">
        <v>0</v>
      </c>
      <c r="AF53" s="23">
        <v>0</v>
      </c>
      <c r="AG53" s="23">
        <v>0</v>
      </c>
      <c r="AH53" s="24">
        <v>0</v>
      </c>
      <c r="AI53" s="24">
        <v>0</v>
      </c>
    </row>
    <row r="54" spans="1:35" x14ac:dyDescent="0.3">
      <c r="A54" s="17">
        <f t="shared" si="4"/>
        <v>16</v>
      </c>
      <c r="B54" s="89">
        <v>5804</v>
      </c>
      <c r="C54" s="88" t="str">
        <f>_xlfn.XLOOKUP(__xlnm._FilterDatabase_158[[#This Row],[SAPSA Number]],Table1[SAPSA number],Table1[Paid up])</f>
        <v>Y</v>
      </c>
      <c r="D54" s="39" t="str">
        <f>_xlfn.XLOOKUP(__xlnm._FilterDatabase_158[[#This Row],[SAPSA Number]],Table1[SAPSA number],Table1[Name])</f>
        <v>Louis Johannes</v>
      </c>
      <c r="E54" s="39" t="str">
        <f>_xlfn.XLOOKUP(__xlnm._FilterDatabase_158[[#This Row],[SAPSA Number]],Table1[SAPSA number],Table1[Surname])</f>
        <v>Nel</v>
      </c>
      <c r="F54" s="28" t="str">
        <f>_xlfn.XLOOKUP(__xlnm._FilterDatabase_158[[#This Row],[SAPSA Number]],Table1[SAPSA number],Table1[Initials])</f>
        <v>LJ</v>
      </c>
      <c r="G54" s="17" t="str">
        <f ca="1">_xlfn.XLOOKUP(__xlnm._FilterDatabase_158[[#This Row],[SAPSA Number]],Table1[SAPSA number],Table1[Gender])</f>
        <v xml:space="preserve"> </v>
      </c>
      <c r="H54" s="19" t="e">
        <f>_xlfn.XLOOKUP(__xlnm._FilterDatabase_158[[#This Row],[SAPSA Number]],#REF!,#REF!)</f>
        <v>#REF!</v>
      </c>
      <c r="I54" s="19" t="s">
        <v>241</v>
      </c>
      <c r="J54" s="21">
        <f>(IF(L54&gt;0,1,0)+(IF(__xlnm._FilterDatabase_158[[#This Row],[Jan2]]&gt;0,1,0))+(IF(__xlnm._FilterDatabase_158[[#This Row],[Feb2]]&gt;0,1,0))+(IF(N54&gt;0,1,0))+(IF(P54&gt;0,1,0))+(IF(Q54&gt;0,1,0))+(IF(R54&gt;0,1,0))+(IF(T54&gt;0,1,0))+(IF(U54&gt;0,1,0))+(IF(V54&gt;0,1,0))+(IF(X54&gt;0,1,0))+(IF(Y54&gt;0,1,0))+(IF(Z54&gt;0,1,0))+(IF(AA54&gt;0,1,0))+(IF(AB54&gt;0,1,0))+(IF(AC54&gt;0,1,0))+(IF(AD54&gt;0,1,0))+(IF(AE54&gt;0,1,0))+(IF(AF54&gt;0,1,0))+(IF(AH54&gt;0,1,0))+(IF(AG54&gt;0,1,0))+(IF(__xlnm._FilterDatabase_158[[#This Row],[Apr2]]&gt;0,1,0)+(IF(__xlnm._FilterDatabase_158[[#This Row],[Jun2]]&gt;0,1,0))))</f>
        <v>0</v>
      </c>
      <c r="K54" s="22">
        <f t="shared" si="3"/>
        <v>0</v>
      </c>
      <c r="L54" s="23">
        <v>0</v>
      </c>
      <c r="M54" s="23">
        <v>0</v>
      </c>
      <c r="N54" s="24">
        <v>0</v>
      </c>
      <c r="O54" s="24">
        <v>0</v>
      </c>
      <c r="P54" s="23">
        <v>0</v>
      </c>
      <c r="Q54" s="23">
        <v>0</v>
      </c>
      <c r="R54" s="24">
        <v>0</v>
      </c>
      <c r="S54" s="24">
        <v>0</v>
      </c>
      <c r="T54" s="23">
        <v>0</v>
      </c>
      <c r="U54" s="23">
        <v>0</v>
      </c>
      <c r="V54" s="24">
        <v>0</v>
      </c>
      <c r="W54" s="24">
        <v>0</v>
      </c>
      <c r="X54" s="23">
        <v>0</v>
      </c>
      <c r="Y54" s="23">
        <v>0</v>
      </c>
      <c r="Z54" s="80">
        <v>0</v>
      </c>
      <c r="AA54" s="80">
        <v>0</v>
      </c>
      <c r="AB54" s="79">
        <v>0</v>
      </c>
      <c r="AC54" s="79">
        <v>0</v>
      </c>
      <c r="AD54" s="80">
        <v>0</v>
      </c>
      <c r="AE54" s="80">
        <v>0</v>
      </c>
      <c r="AF54" s="23">
        <v>0</v>
      </c>
      <c r="AG54" s="23">
        <v>0</v>
      </c>
      <c r="AH54" s="24">
        <v>0</v>
      </c>
      <c r="AI54" s="24">
        <v>0</v>
      </c>
    </row>
    <row r="55" spans="1:35" x14ac:dyDescent="0.3">
      <c r="A55" s="17">
        <f t="shared" si="4"/>
        <v>16</v>
      </c>
      <c r="B55" s="88">
        <v>2950</v>
      </c>
      <c r="C55" s="88">
        <f>_xlfn.XLOOKUP(__xlnm._FilterDatabase_158[[#This Row],[SAPSA Number]],Table1[SAPSA number],Table1[Paid up])</f>
        <v>0</v>
      </c>
      <c r="D55" s="39" t="str">
        <f>_xlfn.XLOOKUP(__xlnm._FilterDatabase_158[[#This Row],[SAPSA Number]],Table1[SAPSA number],Table1[Name])</f>
        <v>Renier Jansen</v>
      </c>
      <c r="E55" s="39" t="str">
        <f>_xlfn.XLOOKUP(__xlnm._FilterDatabase_158[[#This Row],[SAPSA Number]],Table1[SAPSA number],Table1[Surname])</f>
        <v>Reynders</v>
      </c>
      <c r="F55" s="28" t="str">
        <f>_xlfn.XLOOKUP(__xlnm._FilterDatabase_158[[#This Row],[SAPSA Number]],Table1[SAPSA number],Table1[Initials])</f>
        <v>RJ</v>
      </c>
      <c r="G55" s="17" t="str">
        <f ca="1">_xlfn.XLOOKUP(__xlnm._FilterDatabase_158[[#This Row],[SAPSA Number]],Table1[SAPSA number],Table1[Gender])</f>
        <v xml:space="preserve"> </v>
      </c>
      <c r="H55" s="19" t="e">
        <f>_xlfn.XLOOKUP(__xlnm._FilterDatabase_158[[#This Row],[SAPSA Number]],#REF!,#REF!)</f>
        <v>#REF!</v>
      </c>
      <c r="I55" s="19" t="s">
        <v>241</v>
      </c>
      <c r="J55" s="21">
        <f>(IF(L55&gt;0,1,0)+(IF(__xlnm._FilterDatabase_158[[#This Row],[Jan2]]&gt;0,1,0))+(IF(__xlnm._FilterDatabase_158[[#This Row],[Feb2]]&gt;0,1,0))+(IF(N55&gt;0,1,0))+(IF(P55&gt;0,1,0))+(IF(Q55&gt;0,1,0))+(IF(R55&gt;0,1,0))+(IF(T55&gt;0,1,0))+(IF(U55&gt;0,1,0))+(IF(V55&gt;0,1,0))+(IF(X55&gt;0,1,0))+(IF(Y55&gt;0,1,0))+(IF(Z55&gt;0,1,0))+(IF(AA55&gt;0,1,0))+(IF(AB55&gt;0,1,0))+(IF(AC55&gt;0,1,0))+(IF(AD55&gt;0,1,0))+(IF(AE55&gt;0,1,0))+(IF(AF55&gt;0,1,0))+(IF(AH55&gt;0,1,0))+(IF(AG55&gt;0,1,0))+(IF(__xlnm._FilterDatabase_158[[#This Row],[Apr2]]&gt;0,1,0)+(IF(__xlnm._FilterDatabase_158[[#This Row],[Jun2]]&gt;0,1,0))))</f>
        <v>0</v>
      </c>
      <c r="K55" s="22">
        <f t="shared" si="3"/>
        <v>0</v>
      </c>
      <c r="L55" s="23">
        <v>0</v>
      </c>
      <c r="M55" s="23">
        <v>0</v>
      </c>
      <c r="N55" s="24">
        <v>0</v>
      </c>
      <c r="O55" s="24">
        <v>0</v>
      </c>
      <c r="P55" s="23">
        <v>0</v>
      </c>
      <c r="Q55" s="23">
        <v>0</v>
      </c>
      <c r="R55" s="24">
        <v>0</v>
      </c>
      <c r="S55" s="24">
        <v>0</v>
      </c>
      <c r="T55" s="23">
        <v>0</v>
      </c>
      <c r="U55" s="23">
        <v>0</v>
      </c>
      <c r="V55" s="24">
        <v>0</v>
      </c>
      <c r="W55" s="24">
        <v>0</v>
      </c>
      <c r="X55" s="23">
        <v>0</v>
      </c>
      <c r="Y55" s="23">
        <v>0</v>
      </c>
      <c r="Z55" s="80">
        <v>0</v>
      </c>
      <c r="AA55" s="80">
        <v>0</v>
      </c>
      <c r="AB55" s="79">
        <v>0</v>
      </c>
      <c r="AC55" s="79">
        <v>0</v>
      </c>
      <c r="AD55" s="80">
        <v>0</v>
      </c>
      <c r="AE55" s="80">
        <v>0</v>
      </c>
      <c r="AF55" s="23">
        <v>0</v>
      </c>
      <c r="AG55" s="23">
        <v>0</v>
      </c>
      <c r="AH55" s="24">
        <v>0</v>
      </c>
      <c r="AI55" s="24">
        <v>0</v>
      </c>
    </row>
    <row r="56" spans="1:35" x14ac:dyDescent="0.3">
      <c r="A56" s="17">
        <f t="shared" si="4"/>
        <v>16</v>
      </c>
      <c r="B56" s="88">
        <v>1929</v>
      </c>
      <c r="C56" s="88">
        <f>_xlfn.XLOOKUP(__xlnm._FilterDatabase_158[[#This Row],[SAPSA Number]],Table1[SAPSA number],Table1[Paid up])</f>
        <v>0</v>
      </c>
      <c r="D56" s="39" t="str">
        <f>_xlfn.XLOOKUP(__xlnm._FilterDatabase_158[[#This Row],[SAPSA Number]],Table1[SAPSA number],Table1[Name])</f>
        <v>Chris</v>
      </c>
      <c r="E56" s="39" t="str">
        <f>_xlfn.XLOOKUP(__xlnm._FilterDatabase_158[[#This Row],[SAPSA Number]],Table1[SAPSA number],Table1[Surname])</f>
        <v>Ridout</v>
      </c>
      <c r="F56" s="28" t="str">
        <f>_xlfn.XLOOKUP(__xlnm._FilterDatabase_158[[#This Row],[SAPSA Number]],Table1[SAPSA number],Table1[Initials])</f>
        <v>CJ</v>
      </c>
      <c r="G56" s="17" t="str">
        <f ca="1">_xlfn.XLOOKUP(__xlnm._FilterDatabase_158[[#This Row],[SAPSA Number]],Table1[SAPSA number],Table1[Gender])</f>
        <v xml:space="preserve"> </v>
      </c>
      <c r="H56" s="19" t="e">
        <f>_xlfn.XLOOKUP(__xlnm._FilterDatabase_158[[#This Row],[SAPSA Number]],#REF!,#REF!)</f>
        <v>#REF!</v>
      </c>
      <c r="I56" s="19" t="s">
        <v>241</v>
      </c>
      <c r="J56" s="21">
        <f>(IF(L56&gt;0,1,0)+(IF(__xlnm._FilterDatabase_158[[#This Row],[Jan2]]&gt;0,1,0))+(IF(__xlnm._FilterDatabase_158[[#This Row],[Feb2]]&gt;0,1,0))+(IF(N56&gt;0,1,0))+(IF(P56&gt;0,1,0))+(IF(Q56&gt;0,1,0))+(IF(R56&gt;0,1,0))+(IF(T56&gt;0,1,0))+(IF(U56&gt;0,1,0))+(IF(V56&gt;0,1,0))+(IF(X56&gt;0,1,0))+(IF(Y56&gt;0,1,0))+(IF(Z56&gt;0,1,0))+(IF(AA56&gt;0,1,0))+(IF(AB56&gt;0,1,0))+(IF(AC56&gt;0,1,0))+(IF(AD56&gt;0,1,0))+(IF(AE56&gt;0,1,0))+(IF(AF56&gt;0,1,0))+(IF(AH56&gt;0,1,0))+(IF(AG56&gt;0,1,0))+(IF(__xlnm._FilterDatabase_158[[#This Row],[Apr2]]&gt;0,1,0)+(IF(__xlnm._FilterDatabase_158[[#This Row],[Jun2]]&gt;0,1,0))))</f>
        <v>0</v>
      </c>
      <c r="K56" s="22">
        <f t="shared" si="3"/>
        <v>0</v>
      </c>
      <c r="L56" s="23">
        <v>0</v>
      </c>
      <c r="M56" s="23">
        <v>0</v>
      </c>
      <c r="N56" s="24">
        <v>0</v>
      </c>
      <c r="O56" s="24">
        <v>0</v>
      </c>
      <c r="P56" s="23">
        <v>0</v>
      </c>
      <c r="Q56" s="23">
        <v>0</v>
      </c>
      <c r="R56" s="24">
        <v>0</v>
      </c>
      <c r="S56" s="24">
        <v>0</v>
      </c>
      <c r="T56" s="23">
        <v>0</v>
      </c>
      <c r="U56" s="23">
        <v>0</v>
      </c>
      <c r="V56" s="24">
        <v>0</v>
      </c>
      <c r="W56" s="24">
        <v>0</v>
      </c>
      <c r="X56" s="23">
        <v>0</v>
      </c>
      <c r="Y56" s="23">
        <v>0</v>
      </c>
      <c r="Z56" s="80">
        <v>0</v>
      </c>
      <c r="AA56" s="80">
        <v>0</v>
      </c>
      <c r="AB56" s="79">
        <v>0</v>
      </c>
      <c r="AC56" s="79">
        <v>0</v>
      </c>
      <c r="AD56" s="80">
        <v>0</v>
      </c>
      <c r="AE56" s="80">
        <v>0</v>
      </c>
      <c r="AF56" s="23">
        <v>0</v>
      </c>
      <c r="AG56" s="23">
        <v>0</v>
      </c>
      <c r="AH56" s="24">
        <v>0</v>
      </c>
      <c r="AI56" s="24">
        <v>0</v>
      </c>
    </row>
    <row r="57" spans="1:35" x14ac:dyDescent="0.3">
      <c r="A57" s="17">
        <f t="shared" si="4"/>
        <v>16</v>
      </c>
      <c r="B57" s="88">
        <v>572</v>
      </c>
      <c r="C57" s="88" t="str">
        <f>_xlfn.XLOOKUP(__xlnm._FilterDatabase_158[[#This Row],[SAPSA Number]],Table1[SAPSA number],Table1[Paid up])</f>
        <v>Y</v>
      </c>
      <c r="D57" s="39" t="str">
        <f>_xlfn.XLOOKUP(__xlnm._FilterDatabase_158[[#This Row],[SAPSA Number]],Table1[SAPSA number],Table1[Name])</f>
        <v>DJ</v>
      </c>
      <c r="E57" s="39" t="str">
        <f>_xlfn.XLOOKUP(__xlnm._FilterDatabase_158[[#This Row],[SAPSA Number]],Table1[SAPSA number],Table1[Surname])</f>
        <v>Smith</v>
      </c>
      <c r="F57" s="28" t="str">
        <f>_xlfn.XLOOKUP(__xlnm._FilterDatabase_158[[#This Row],[SAPSA Number]],Table1[SAPSA number],Table1[Initials])</f>
        <v>DJ</v>
      </c>
      <c r="G57" s="17" t="str">
        <f ca="1">_xlfn.XLOOKUP(__xlnm._FilterDatabase_158[[#This Row],[SAPSA Number]],Table1[SAPSA number],Table1[Gender])</f>
        <v>SS</v>
      </c>
      <c r="H57" s="19" t="e">
        <f>_xlfn.XLOOKUP(__xlnm._FilterDatabase_158[[#This Row],[SAPSA Number]],#REF!,#REF!)</f>
        <v>#REF!</v>
      </c>
      <c r="I57" s="19" t="s">
        <v>241</v>
      </c>
      <c r="J57" s="21">
        <f>(IF(L57&gt;0,1,0)+(IF(__xlnm._FilterDatabase_158[[#This Row],[Jan2]]&gt;0,1,0))+(IF(__xlnm._FilterDatabase_158[[#This Row],[Feb2]]&gt;0,1,0))+(IF(N57&gt;0,1,0))+(IF(P57&gt;0,1,0))+(IF(Q57&gt;0,1,0))+(IF(R57&gt;0,1,0))+(IF(T57&gt;0,1,0))+(IF(U57&gt;0,1,0))+(IF(V57&gt;0,1,0))+(IF(X57&gt;0,1,0))+(IF(Y57&gt;0,1,0))+(IF(Z57&gt;0,1,0))+(IF(AA57&gt;0,1,0))+(IF(AB57&gt;0,1,0))+(IF(AC57&gt;0,1,0))+(IF(AD57&gt;0,1,0))+(IF(AE57&gt;0,1,0))+(IF(AF57&gt;0,1,0))+(IF(AH57&gt;0,1,0))+(IF(AG57&gt;0,1,0))+(IF(__xlnm._FilterDatabase_158[[#This Row],[Apr2]]&gt;0,1,0)+(IF(__xlnm._FilterDatabase_158[[#This Row],[Jun2]]&gt;0,1,0))))</f>
        <v>0</v>
      </c>
      <c r="K57" s="22">
        <f t="shared" si="3"/>
        <v>0</v>
      </c>
      <c r="L57" s="23">
        <v>0</v>
      </c>
      <c r="M57" s="23">
        <v>0</v>
      </c>
      <c r="N57" s="24">
        <v>0</v>
      </c>
      <c r="O57" s="24">
        <v>0</v>
      </c>
      <c r="P57" s="23">
        <v>0</v>
      </c>
      <c r="Q57" s="23">
        <v>0</v>
      </c>
      <c r="R57" s="24">
        <v>0</v>
      </c>
      <c r="S57" s="24">
        <v>0</v>
      </c>
      <c r="T57" s="23">
        <v>0</v>
      </c>
      <c r="U57" s="23">
        <v>0</v>
      </c>
      <c r="V57" s="24">
        <v>0</v>
      </c>
      <c r="W57" s="24">
        <v>0</v>
      </c>
      <c r="X57" s="23">
        <v>0</v>
      </c>
      <c r="Y57" s="23">
        <v>0</v>
      </c>
      <c r="Z57" s="80">
        <v>0</v>
      </c>
      <c r="AA57" s="80">
        <v>0</v>
      </c>
      <c r="AB57" s="79">
        <v>0</v>
      </c>
      <c r="AC57" s="79">
        <v>0</v>
      </c>
      <c r="AD57" s="80">
        <v>0</v>
      </c>
      <c r="AE57" s="80">
        <v>0</v>
      </c>
      <c r="AF57" s="23">
        <v>0</v>
      </c>
      <c r="AG57" s="23">
        <v>0</v>
      </c>
      <c r="AH57" s="24">
        <v>0</v>
      </c>
      <c r="AI57" s="24">
        <v>0</v>
      </c>
    </row>
    <row r="58" spans="1:35" x14ac:dyDescent="0.3">
      <c r="A58" s="17">
        <f t="shared" si="4"/>
        <v>16</v>
      </c>
      <c r="B58" s="90">
        <v>1321</v>
      </c>
      <c r="C58" s="88">
        <f>_xlfn.XLOOKUP(__xlnm._FilterDatabase_158[[#This Row],[SAPSA Number]],Table1[SAPSA number],Table1[Paid up])</f>
        <v>0</v>
      </c>
      <c r="D58" s="39" t="str">
        <f>_xlfn.XLOOKUP(__xlnm._FilterDatabase_158[[#This Row],[SAPSA Number]],Table1[SAPSA number],Table1[Name])</f>
        <v>Neal Monisen</v>
      </c>
      <c r="E58" s="39" t="str">
        <f>_xlfn.XLOOKUP(__xlnm._FilterDatabase_158[[#This Row],[SAPSA Number]],Table1[SAPSA number],Table1[Surname])</f>
        <v>Sokay</v>
      </c>
      <c r="F58" s="28" t="str">
        <f>_xlfn.XLOOKUP(__xlnm._FilterDatabase_158[[#This Row],[SAPSA Number]],Table1[SAPSA number],Table1[Initials])</f>
        <v>NM</v>
      </c>
      <c r="G58" s="17" t="str">
        <f ca="1">_xlfn.XLOOKUP(__xlnm._FilterDatabase_158[[#This Row],[SAPSA Number]],Table1[SAPSA number],Table1[Gender])</f>
        <v>S</v>
      </c>
      <c r="H58" s="19" t="e">
        <f>_xlfn.XLOOKUP(__xlnm._FilterDatabase_158[[#This Row],[SAPSA Number]],#REF!,#REF!)</f>
        <v>#REF!</v>
      </c>
      <c r="I58" s="19" t="s">
        <v>241</v>
      </c>
      <c r="J58" s="21">
        <f>(IF(L58&gt;0,1,0)+(IF(__xlnm._FilterDatabase_158[[#This Row],[Jan2]]&gt;0,1,0))+(IF(__xlnm._FilterDatabase_158[[#This Row],[Feb2]]&gt;0,1,0))+(IF(N58&gt;0,1,0))+(IF(P58&gt;0,1,0))+(IF(Q58&gt;0,1,0))+(IF(R58&gt;0,1,0))+(IF(T58&gt;0,1,0))+(IF(U58&gt;0,1,0))+(IF(V58&gt;0,1,0))+(IF(X58&gt;0,1,0))+(IF(Y58&gt;0,1,0))+(IF(Z58&gt;0,1,0))+(IF(AA58&gt;0,1,0))+(IF(AB58&gt;0,1,0))+(IF(AC58&gt;0,1,0))+(IF(AD58&gt;0,1,0))+(IF(AE58&gt;0,1,0))+(IF(AF58&gt;0,1,0))+(IF(AH58&gt;0,1,0))+(IF(AG58&gt;0,1,0))+(IF(__xlnm._FilterDatabase_158[[#This Row],[Apr2]]&gt;0,1,0)+(IF(__xlnm._FilterDatabase_158[[#This Row],[Jun2]]&gt;0,1,0))))</f>
        <v>0</v>
      </c>
      <c r="K58" s="22">
        <f t="shared" si="3"/>
        <v>0</v>
      </c>
      <c r="L58" s="23">
        <v>0</v>
      </c>
      <c r="M58" s="23">
        <v>0</v>
      </c>
      <c r="N58" s="24">
        <v>0</v>
      </c>
      <c r="O58" s="24">
        <v>0</v>
      </c>
      <c r="P58" s="23">
        <v>0</v>
      </c>
      <c r="Q58" s="23">
        <v>0</v>
      </c>
      <c r="R58" s="24">
        <v>0</v>
      </c>
      <c r="S58" s="24">
        <v>0</v>
      </c>
      <c r="T58" s="23">
        <v>0</v>
      </c>
      <c r="U58" s="23">
        <v>0</v>
      </c>
      <c r="V58" s="24">
        <v>0</v>
      </c>
      <c r="W58" s="24">
        <v>0</v>
      </c>
      <c r="X58" s="23">
        <v>0</v>
      </c>
      <c r="Y58" s="23">
        <v>0</v>
      </c>
      <c r="Z58" s="80">
        <v>0</v>
      </c>
      <c r="AA58" s="80">
        <v>0</v>
      </c>
      <c r="AB58" s="79">
        <v>0</v>
      </c>
      <c r="AC58" s="79">
        <v>0</v>
      </c>
      <c r="AD58" s="80">
        <v>0</v>
      </c>
      <c r="AE58" s="80">
        <v>0</v>
      </c>
      <c r="AF58" s="23">
        <v>0</v>
      </c>
      <c r="AG58" s="23">
        <v>0</v>
      </c>
      <c r="AH58" s="24">
        <v>0</v>
      </c>
      <c r="AI58" s="24">
        <v>0</v>
      </c>
    </row>
    <row r="59" spans="1:35" x14ac:dyDescent="0.3">
      <c r="A59" s="17">
        <f t="shared" si="4"/>
        <v>16</v>
      </c>
      <c r="B59" s="90">
        <v>1113</v>
      </c>
      <c r="C59" s="88" t="str">
        <f>_xlfn.XLOOKUP(__xlnm._FilterDatabase_158[[#This Row],[SAPSA Number]],Table1[SAPSA number],Table1[Paid up])</f>
        <v>Y</v>
      </c>
      <c r="D59" s="39" t="str">
        <f>_xlfn.XLOOKUP(__xlnm._FilterDatabase_158[[#This Row],[SAPSA Number]],Table1[SAPSA number],Table1[Name])</f>
        <v>Frik</v>
      </c>
      <c r="E59" s="39" t="str">
        <f>_xlfn.XLOOKUP(__xlnm._FilterDatabase_158[[#This Row],[SAPSA Number]],Table1[SAPSA number],Table1[Surname])</f>
        <v>Truter</v>
      </c>
      <c r="F59" s="28" t="str">
        <f>_xlfn.XLOOKUP(__xlnm._FilterDatabase_158[[#This Row],[SAPSA Number]],Table1[SAPSA number],Table1[Initials])</f>
        <v>FC</v>
      </c>
      <c r="G59" s="17" t="str">
        <f ca="1">_xlfn.XLOOKUP(__xlnm._FilterDatabase_158[[#This Row],[SAPSA Number]],Table1[SAPSA number],Table1[Gender])</f>
        <v>SS</v>
      </c>
      <c r="H59" s="19" t="e">
        <f>_xlfn.XLOOKUP(__xlnm._FilterDatabase_158[[#This Row],[SAPSA Number]],#REF!,#REF!)</f>
        <v>#REF!</v>
      </c>
      <c r="I59" s="19" t="s">
        <v>241</v>
      </c>
      <c r="J59" s="21">
        <f>(IF(L59&gt;0,1,0)+(IF(__xlnm._FilterDatabase_158[[#This Row],[Jan2]]&gt;0,1,0))+(IF(__xlnm._FilterDatabase_158[[#This Row],[Feb2]]&gt;0,1,0))+(IF(N59&gt;0,1,0))+(IF(P59&gt;0,1,0))+(IF(Q59&gt;0,1,0))+(IF(R59&gt;0,1,0))+(IF(T59&gt;0,1,0))+(IF(U59&gt;0,1,0))+(IF(V59&gt;0,1,0))+(IF(X59&gt;0,1,0))+(IF(Y59&gt;0,1,0))+(IF(Z59&gt;0,1,0))+(IF(AA59&gt;0,1,0))+(IF(AB59&gt;0,1,0))+(IF(AC59&gt;0,1,0))+(IF(AD59&gt;0,1,0))+(IF(AE59&gt;0,1,0))+(IF(AF59&gt;0,1,0))+(IF(AH59&gt;0,1,0))+(IF(AG59&gt;0,1,0))+(IF(__xlnm._FilterDatabase_158[[#This Row],[Apr2]]&gt;0,1,0)+(IF(__xlnm._FilterDatabase_158[[#This Row],[Jun2]]&gt;0,1,0))))</f>
        <v>0</v>
      </c>
      <c r="K59" s="22">
        <f t="shared" si="3"/>
        <v>0</v>
      </c>
      <c r="L59" s="23">
        <v>0</v>
      </c>
      <c r="M59" s="23">
        <v>0</v>
      </c>
      <c r="N59" s="24">
        <v>0</v>
      </c>
      <c r="O59" s="24">
        <v>0</v>
      </c>
      <c r="P59" s="23">
        <v>0</v>
      </c>
      <c r="Q59" s="23">
        <v>0</v>
      </c>
      <c r="R59" s="24">
        <v>0</v>
      </c>
      <c r="S59" s="24">
        <v>0</v>
      </c>
      <c r="T59" s="23">
        <v>0</v>
      </c>
      <c r="U59" s="23">
        <v>0</v>
      </c>
      <c r="V59" s="24">
        <v>0</v>
      </c>
      <c r="W59" s="24">
        <v>0</v>
      </c>
      <c r="X59" s="23">
        <v>0</v>
      </c>
      <c r="Y59" s="23">
        <v>0</v>
      </c>
      <c r="Z59" s="80">
        <v>0</v>
      </c>
      <c r="AA59" s="80">
        <v>0</v>
      </c>
      <c r="AB59" s="79">
        <v>0</v>
      </c>
      <c r="AC59" s="79">
        <v>0</v>
      </c>
      <c r="AD59" s="80">
        <v>0</v>
      </c>
      <c r="AE59" s="80">
        <v>0</v>
      </c>
      <c r="AF59" s="23">
        <v>0</v>
      </c>
      <c r="AG59" s="23">
        <v>0</v>
      </c>
      <c r="AH59" s="24">
        <v>0</v>
      </c>
      <c r="AI59" s="24">
        <v>0</v>
      </c>
    </row>
    <row r="60" spans="1:35" x14ac:dyDescent="0.3">
      <c r="A60" s="17">
        <f t="shared" si="4"/>
        <v>16</v>
      </c>
      <c r="B60" s="90">
        <v>4672</v>
      </c>
      <c r="C60" s="88" t="str">
        <f>_xlfn.XLOOKUP(__xlnm._FilterDatabase_158[[#This Row],[SAPSA Number]],Table1[SAPSA number],Table1[Paid up])</f>
        <v>Y</v>
      </c>
      <c r="D60" s="39" t="str">
        <f>_xlfn.XLOOKUP(__xlnm._FilterDatabase_158[[#This Row],[SAPSA Number]],Table1[SAPSA number],Table1[Name])</f>
        <v>Frederick John</v>
      </c>
      <c r="E60" s="39" t="str">
        <f>_xlfn.XLOOKUP(__xlnm._FilterDatabase_158[[#This Row],[SAPSA Number]],Table1[SAPSA number],Table1[Surname])</f>
        <v>Turnbull</v>
      </c>
      <c r="F60" s="28" t="str">
        <f>_xlfn.XLOOKUP(__xlnm._FilterDatabase_158[[#This Row],[SAPSA Number]],Table1[SAPSA number],Table1[Initials])</f>
        <v>FJ</v>
      </c>
      <c r="G60" s="17" t="str">
        <f ca="1">_xlfn.XLOOKUP(__xlnm._FilterDatabase_158[[#This Row],[SAPSA Number]],Table1[SAPSA number],Table1[Gender])</f>
        <v>SS</v>
      </c>
      <c r="H60" s="19" t="e">
        <f>_xlfn.XLOOKUP(__xlnm._FilterDatabase_158[[#This Row],[SAPSA Number]],#REF!,#REF!)</f>
        <v>#REF!</v>
      </c>
      <c r="I60" s="19" t="s">
        <v>241</v>
      </c>
      <c r="J60" s="21">
        <f>(IF(L60&gt;0,1,0)+(IF(__xlnm._FilterDatabase_158[[#This Row],[Jan2]]&gt;0,1,0))+(IF(__xlnm._FilterDatabase_158[[#This Row],[Feb2]]&gt;0,1,0))+(IF(N60&gt;0,1,0))+(IF(P60&gt;0,1,0))+(IF(Q60&gt;0,1,0))+(IF(R60&gt;0,1,0))+(IF(T60&gt;0,1,0))+(IF(U60&gt;0,1,0))+(IF(V60&gt;0,1,0))+(IF(X60&gt;0,1,0))+(IF(Y60&gt;0,1,0))+(IF(Z60&gt;0,1,0))+(IF(AA60&gt;0,1,0))+(IF(AB60&gt;0,1,0))+(IF(AC60&gt;0,1,0))+(IF(AD60&gt;0,1,0))+(IF(AE60&gt;0,1,0))+(IF(AF60&gt;0,1,0))+(IF(AH60&gt;0,1,0))+(IF(AG60&gt;0,1,0))+(IF(__xlnm._FilterDatabase_158[[#This Row],[Apr2]]&gt;0,1,0)+(IF(__xlnm._FilterDatabase_158[[#This Row],[Jun2]]&gt;0,1,0))))</f>
        <v>0</v>
      </c>
      <c r="K60" s="22">
        <f t="shared" si="3"/>
        <v>0</v>
      </c>
      <c r="L60" s="23">
        <v>0</v>
      </c>
      <c r="M60" s="23">
        <v>0</v>
      </c>
      <c r="N60" s="24">
        <v>0</v>
      </c>
      <c r="O60" s="24">
        <v>0</v>
      </c>
      <c r="P60" s="23">
        <v>0</v>
      </c>
      <c r="Q60" s="23">
        <v>0</v>
      </c>
      <c r="R60" s="24">
        <v>0</v>
      </c>
      <c r="S60" s="24">
        <v>0</v>
      </c>
      <c r="T60" s="23">
        <v>0</v>
      </c>
      <c r="U60" s="23">
        <v>0</v>
      </c>
      <c r="V60" s="24">
        <v>0</v>
      </c>
      <c r="W60" s="24">
        <v>0</v>
      </c>
      <c r="X60" s="23">
        <v>0</v>
      </c>
      <c r="Y60" s="23">
        <v>0</v>
      </c>
      <c r="Z60" s="80">
        <v>0</v>
      </c>
      <c r="AA60" s="80">
        <v>0</v>
      </c>
      <c r="AB60" s="79">
        <v>0</v>
      </c>
      <c r="AC60" s="79">
        <v>0</v>
      </c>
      <c r="AD60" s="80">
        <v>0</v>
      </c>
      <c r="AE60" s="80">
        <v>0</v>
      </c>
      <c r="AF60" s="23">
        <v>0</v>
      </c>
      <c r="AG60" s="23">
        <v>0</v>
      </c>
      <c r="AH60" s="24">
        <v>0</v>
      </c>
      <c r="AI60" s="24">
        <v>0</v>
      </c>
    </row>
    <row r="61" spans="1:35" x14ac:dyDescent="0.3">
      <c r="A61" s="17">
        <f t="shared" si="4"/>
        <v>16</v>
      </c>
      <c r="B61" s="90">
        <v>1931</v>
      </c>
      <c r="C61" s="88">
        <f>_xlfn.XLOOKUP(__xlnm._FilterDatabase_158[[#This Row],[SAPSA Number]],Table1[SAPSA number],Table1[Paid up])</f>
        <v>0</v>
      </c>
      <c r="D61" s="39" t="str">
        <f>_xlfn.XLOOKUP(__xlnm._FilterDatabase_158[[#This Row],[SAPSA Number]],Table1[SAPSA number],Table1[Name])</f>
        <v>Sylvia</v>
      </c>
      <c r="E61" s="39" t="str">
        <f>_xlfn.XLOOKUP(__xlnm._FilterDatabase_158[[#This Row],[SAPSA Number]],Table1[SAPSA number],Table1[Surname])</f>
        <v>Van der Neut</v>
      </c>
      <c r="F61" s="28" t="str">
        <f>_xlfn.XLOOKUP(__xlnm._FilterDatabase_158[[#This Row],[SAPSA Number]],Table1[SAPSA number],Table1[Initials])</f>
        <v>S</v>
      </c>
      <c r="G61" s="17" t="str">
        <f>_xlfn.XLOOKUP(__xlnm._FilterDatabase_158[[#This Row],[SAPSA Number]],Table1[SAPSA number],Table1[Gender])</f>
        <v>Lady</v>
      </c>
      <c r="H61" s="19" t="e">
        <f>_xlfn.XLOOKUP(__xlnm._FilterDatabase_158[[#This Row],[SAPSA Number]],#REF!,#REF!)</f>
        <v>#REF!</v>
      </c>
      <c r="I61" s="19" t="s">
        <v>241</v>
      </c>
      <c r="J61" s="21">
        <f>(IF(L61&gt;0,1,0)+(IF(__xlnm._FilterDatabase_158[[#This Row],[Jan2]]&gt;0,1,0))+(IF(__xlnm._FilterDatabase_158[[#This Row],[Feb2]]&gt;0,1,0))+(IF(N61&gt;0,1,0))+(IF(P61&gt;0,1,0))+(IF(Q61&gt;0,1,0))+(IF(R61&gt;0,1,0))+(IF(T61&gt;0,1,0))+(IF(U61&gt;0,1,0))+(IF(V61&gt;0,1,0))+(IF(X61&gt;0,1,0))+(IF(Y61&gt;0,1,0))+(IF(Z61&gt;0,1,0))+(IF(AA61&gt;0,1,0))+(IF(AB61&gt;0,1,0))+(IF(AC61&gt;0,1,0))+(IF(AD61&gt;0,1,0))+(IF(AE61&gt;0,1,0))+(IF(AF61&gt;0,1,0))+(IF(AH61&gt;0,1,0))+(IF(AG61&gt;0,1,0))+(IF(__xlnm._FilterDatabase_158[[#This Row],[Apr2]]&gt;0,1,0)+(IF(__xlnm._FilterDatabase_158[[#This Row],[Jun2]]&gt;0,1,0))))</f>
        <v>0</v>
      </c>
      <c r="K61" s="22">
        <f t="shared" si="3"/>
        <v>0</v>
      </c>
      <c r="L61" s="23">
        <v>0</v>
      </c>
      <c r="M61" s="23">
        <v>0</v>
      </c>
      <c r="N61" s="24">
        <v>0</v>
      </c>
      <c r="O61" s="24">
        <v>0</v>
      </c>
      <c r="P61" s="23">
        <v>0</v>
      </c>
      <c r="Q61" s="23">
        <v>0</v>
      </c>
      <c r="R61" s="24">
        <v>0</v>
      </c>
      <c r="S61" s="24">
        <v>0</v>
      </c>
      <c r="T61" s="23">
        <v>0</v>
      </c>
      <c r="U61" s="23">
        <v>0</v>
      </c>
      <c r="V61" s="24">
        <v>0</v>
      </c>
      <c r="W61" s="24">
        <v>0</v>
      </c>
      <c r="X61" s="23">
        <v>0</v>
      </c>
      <c r="Y61" s="23">
        <v>0</v>
      </c>
      <c r="Z61" s="80">
        <v>0</v>
      </c>
      <c r="AA61" s="80">
        <v>0</v>
      </c>
      <c r="AB61" s="79">
        <v>0</v>
      </c>
      <c r="AC61" s="79">
        <v>0</v>
      </c>
      <c r="AD61" s="80">
        <v>0</v>
      </c>
      <c r="AE61" s="80">
        <v>0</v>
      </c>
      <c r="AF61" s="23">
        <v>0</v>
      </c>
      <c r="AG61" s="23">
        <v>0</v>
      </c>
      <c r="AH61" s="24">
        <v>0</v>
      </c>
      <c r="AI61" s="24">
        <v>0</v>
      </c>
    </row>
    <row r="62" spans="1:35" x14ac:dyDescent="0.3">
      <c r="A62" s="17">
        <f t="shared" si="4"/>
        <v>16</v>
      </c>
      <c r="B62" s="27">
        <v>6564</v>
      </c>
      <c r="C62" s="88" t="str">
        <f>_xlfn.XLOOKUP(__xlnm._FilterDatabase_158[[#This Row],[SAPSA Number]],Table1[SAPSA number],Table1[Paid up])</f>
        <v>Y</v>
      </c>
      <c r="D62" s="39" t="str">
        <f>_xlfn.XLOOKUP(__xlnm._FilterDatabase_158[[#This Row],[SAPSA Number]],Table1[SAPSA number],Table1[Name])</f>
        <v>Kwimton Schalk</v>
      </c>
      <c r="E62" s="39" t="str">
        <f>_xlfn.XLOOKUP(__xlnm._FilterDatabase_158[[#This Row],[SAPSA Number]],Table1[SAPSA number],Table1[Surname])</f>
        <v>van Jaarsveld</v>
      </c>
      <c r="F62" s="28" t="str">
        <f>_xlfn.XLOOKUP(__xlnm._FilterDatabase_158[[#This Row],[SAPSA Number]],Table1[SAPSA number],Table1[Initials])</f>
        <v>KS</v>
      </c>
      <c r="G62" s="17" t="str">
        <f ca="1">_xlfn.XLOOKUP(__xlnm._FilterDatabase_158[[#This Row],[SAPSA Number]],Table1[SAPSA number],Table1[Gender])</f>
        <v xml:space="preserve"> </v>
      </c>
      <c r="H62" s="19" t="e">
        <f>_xlfn.XLOOKUP(__xlnm._FilterDatabase_158[[#This Row],[SAPSA Number]],#REF!,#REF!)</f>
        <v>#REF!</v>
      </c>
      <c r="I62" s="19" t="s">
        <v>241</v>
      </c>
      <c r="J62" s="21">
        <f>(IF(L62&gt;0,1,0)+(IF(__xlnm._FilterDatabase_158[[#This Row],[Jan2]]&gt;0,1,0))+(IF(__xlnm._FilterDatabase_158[[#This Row],[Feb2]]&gt;0,1,0))+(IF(N62&gt;0,1,0))+(IF(P62&gt;0,1,0))+(IF(Q62&gt;0,1,0))+(IF(R62&gt;0,1,0))+(IF(T62&gt;0,1,0))+(IF(U62&gt;0,1,0))+(IF(V62&gt;0,1,0))+(IF(X62&gt;0,1,0))+(IF(Y62&gt;0,1,0))+(IF(Z62&gt;0,1,0))+(IF(AA62&gt;0,1,0))+(IF(AB62&gt;0,1,0))+(IF(AC62&gt;0,1,0))+(IF(AD62&gt;0,1,0))+(IF(AE62&gt;0,1,0))+(IF(AF62&gt;0,1,0))+(IF(AH62&gt;0,1,0))+(IF(AG62&gt;0,1,0))+(IF(__xlnm._FilterDatabase_158[[#This Row],[Apr2]]&gt;0,1,0)+(IF(__xlnm._FilterDatabase_158[[#This Row],[Jun2]]&gt;0,1,0))))</f>
        <v>0</v>
      </c>
      <c r="K62" s="22">
        <f t="shared" si="3"/>
        <v>0</v>
      </c>
      <c r="L62" s="23">
        <v>0</v>
      </c>
      <c r="M62" s="23">
        <v>0</v>
      </c>
      <c r="N62" s="24">
        <v>0</v>
      </c>
      <c r="O62" s="24">
        <v>0</v>
      </c>
      <c r="P62" s="23">
        <v>0</v>
      </c>
      <c r="Q62" s="23">
        <v>0</v>
      </c>
      <c r="R62" s="24">
        <v>0</v>
      </c>
      <c r="S62" s="24">
        <v>0</v>
      </c>
      <c r="T62" s="23">
        <v>0</v>
      </c>
      <c r="U62" s="23">
        <v>0</v>
      </c>
      <c r="V62" s="24">
        <v>0</v>
      </c>
      <c r="W62" s="24">
        <v>0</v>
      </c>
      <c r="X62" s="23">
        <v>0</v>
      </c>
      <c r="Y62" s="23">
        <v>0</v>
      </c>
      <c r="Z62" s="80">
        <v>0</v>
      </c>
      <c r="AA62" s="80">
        <v>0</v>
      </c>
      <c r="AB62" s="79">
        <v>0</v>
      </c>
      <c r="AC62" s="79">
        <v>0</v>
      </c>
      <c r="AD62" s="80">
        <v>0</v>
      </c>
      <c r="AE62" s="80">
        <v>0</v>
      </c>
      <c r="AF62" s="23">
        <v>0</v>
      </c>
      <c r="AG62" s="23">
        <v>0</v>
      </c>
      <c r="AH62" s="24">
        <v>0</v>
      </c>
      <c r="AI62" s="24">
        <v>0</v>
      </c>
    </row>
    <row r="63" spans="1:35" x14ac:dyDescent="0.3">
      <c r="A63" s="17">
        <f t="shared" si="4"/>
        <v>16</v>
      </c>
      <c r="B63" s="90">
        <v>2051</v>
      </c>
      <c r="C63" s="88" t="str">
        <f>_xlfn.XLOOKUP(__xlnm._FilterDatabase_158[[#This Row],[SAPSA Number]],Table1[SAPSA number],Table1[Paid up])</f>
        <v>Y</v>
      </c>
      <c r="D63" s="39" t="str">
        <f>_xlfn.XLOOKUP(__xlnm._FilterDatabase_158[[#This Row],[SAPSA Number]],Table1[SAPSA number],Table1[Name])</f>
        <v>Simon Adriaan</v>
      </c>
      <c r="E63" s="39" t="str">
        <f>_xlfn.XLOOKUP(__xlnm._FilterDatabase_158[[#This Row],[SAPSA Number]],Table1[SAPSA number],Table1[Surname])</f>
        <v>Vermooten</v>
      </c>
      <c r="F63" s="28" t="str">
        <f>_xlfn.XLOOKUP(__xlnm._FilterDatabase_158[[#This Row],[SAPSA Number]],Table1[SAPSA number],Table1[Initials])</f>
        <v>SA</v>
      </c>
      <c r="G63" s="17" t="str">
        <f ca="1">_xlfn.XLOOKUP(__xlnm._FilterDatabase_158[[#This Row],[SAPSA Number]],Table1[SAPSA number],Table1[Gender])</f>
        <v>GS</v>
      </c>
      <c r="H63" s="19" t="e">
        <f>_xlfn.XLOOKUP(__xlnm._FilterDatabase_158[[#This Row],[SAPSA Number]],#REF!,#REF!)</f>
        <v>#REF!</v>
      </c>
      <c r="I63" s="19" t="s">
        <v>241</v>
      </c>
      <c r="J63" s="21">
        <f>(IF(L63&gt;0,1,0)+(IF(__xlnm._FilterDatabase_158[[#This Row],[Jan2]]&gt;0,1,0))+(IF(__xlnm._FilterDatabase_158[[#This Row],[Feb2]]&gt;0,1,0))+(IF(N63&gt;0,1,0))+(IF(P63&gt;0,1,0))+(IF(Q63&gt;0,1,0))+(IF(R63&gt;0,1,0))+(IF(T63&gt;0,1,0))+(IF(U63&gt;0,1,0))+(IF(V63&gt;0,1,0))+(IF(X63&gt;0,1,0))+(IF(Y63&gt;0,1,0))+(IF(Z63&gt;0,1,0))+(IF(AA63&gt;0,1,0))+(IF(AB63&gt;0,1,0))+(IF(AC63&gt;0,1,0))+(IF(AD63&gt;0,1,0))+(IF(AE63&gt;0,1,0))+(IF(AF63&gt;0,1,0))+(IF(AH63&gt;0,1,0))+(IF(AG63&gt;0,1,0))+(IF(__xlnm._FilterDatabase_158[[#This Row],[Apr2]]&gt;0,1,0)+(IF(__xlnm._FilterDatabase_158[[#This Row],[Jun2]]&gt;0,1,0))))</f>
        <v>0</v>
      </c>
      <c r="K63" s="22">
        <f t="shared" si="3"/>
        <v>0</v>
      </c>
      <c r="L63" s="23">
        <v>0</v>
      </c>
      <c r="M63" s="23">
        <v>0</v>
      </c>
      <c r="N63" s="24">
        <v>0</v>
      </c>
      <c r="O63" s="24">
        <v>0</v>
      </c>
      <c r="P63" s="23">
        <v>0</v>
      </c>
      <c r="Q63" s="23">
        <v>0</v>
      </c>
      <c r="R63" s="24">
        <v>0</v>
      </c>
      <c r="S63" s="24">
        <v>0</v>
      </c>
      <c r="T63" s="23">
        <v>0</v>
      </c>
      <c r="U63" s="23">
        <v>0</v>
      </c>
      <c r="V63" s="24">
        <v>0</v>
      </c>
      <c r="W63" s="24">
        <v>0</v>
      </c>
      <c r="X63" s="23">
        <v>0</v>
      </c>
      <c r="Y63" s="23">
        <v>0</v>
      </c>
      <c r="Z63" s="80">
        <v>0</v>
      </c>
      <c r="AA63" s="80">
        <v>0</v>
      </c>
      <c r="AB63" s="79">
        <v>0</v>
      </c>
      <c r="AC63" s="79">
        <v>0</v>
      </c>
      <c r="AD63" s="80">
        <v>0</v>
      </c>
      <c r="AE63" s="80">
        <v>0</v>
      </c>
      <c r="AF63" s="23">
        <v>0</v>
      </c>
      <c r="AG63" s="23">
        <v>0</v>
      </c>
      <c r="AH63" s="24">
        <v>0</v>
      </c>
      <c r="AI63" s="24">
        <v>0</v>
      </c>
    </row>
    <row r="64" spans="1:35" x14ac:dyDescent="0.3">
      <c r="A64" s="17">
        <f t="shared" si="4"/>
        <v>16</v>
      </c>
      <c r="B64" s="90">
        <v>2089</v>
      </c>
      <c r="C64" s="88" t="str">
        <f>_xlfn.XLOOKUP(__xlnm._FilterDatabase_158[[#This Row],[SAPSA Number]],Table1[SAPSA number],Table1[Paid up])</f>
        <v>Y</v>
      </c>
      <c r="D64" s="39" t="str">
        <f>_xlfn.XLOOKUP(__xlnm._FilterDatabase_158[[#This Row],[SAPSA Number]],Table1[SAPSA number],Table1[Name])</f>
        <v>Doané</v>
      </c>
      <c r="E64" s="39" t="str">
        <f>_xlfn.XLOOKUP(__xlnm._FilterDatabase_158[[#This Row],[SAPSA Number]],Table1[SAPSA number],Table1[Surname])</f>
        <v>Vermooten</v>
      </c>
      <c r="F64" s="28" t="str">
        <f>_xlfn.XLOOKUP(__xlnm._FilterDatabase_158[[#This Row],[SAPSA Number]],Table1[SAPSA number],Table1[Initials])</f>
        <v>D</v>
      </c>
      <c r="G64" s="17" t="str">
        <f ca="1">_xlfn.XLOOKUP(__xlnm._FilterDatabase_158[[#This Row],[SAPSA Number]],Table1[SAPSA number],Table1[Gender])</f>
        <v xml:space="preserve"> </v>
      </c>
      <c r="H64" s="19" t="e">
        <f>_xlfn.XLOOKUP(__xlnm._FilterDatabase_158[[#This Row],[SAPSA Number]],#REF!,#REF!)</f>
        <v>#REF!</v>
      </c>
      <c r="I64" s="19" t="s">
        <v>241</v>
      </c>
      <c r="J64" s="21">
        <f>(IF(L64&gt;0,1,0)+(IF(__xlnm._FilterDatabase_158[[#This Row],[Jan2]]&gt;0,1,0))+(IF(__xlnm._FilterDatabase_158[[#This Row],[Feb2]]&gt;0,1,0))+(IF(N64&gt;0,1,0))+(IF(P64&gt;0,1,0))+(IF(Q64&gt;0,1,0))+(IF(R64&gt;0,1,0))+(IF(T64&gt;0,1,0))+(IF(U64&gt;0,1,0))+(IF(V64&gt;0,1,0))+(IF(X64&gt;0,1,0))+(IF(Y64&gt;0,1,0))+(IF(Z64&gt;0,1,0))+(IF(AA64&gt;0,1,0))+(IF(AB64&gt;0,1,0))+(IF(AC64&gt;0,1,0))+(IF(AD64&gt;0,1,0))+(IF(AE64&gt;0,1,0))+(IF(AF64&gt;0,1,0))+(IF(AH64&gt;0,1,0))+(IF(AG64&gt;0,1,0))+(IF(__xlnm._FilterDatabase_158[[#This Row],[Apr2]]&gt;0,1,0)+(IF(__xlnm._FilterDatabase_158[[#This Row],[Jun2]]&gt;0,1,0))))</f>
        <v>0</v>
      </c>
      <c r="K64" s="22">
        <f t="shared" si="3"/>
        <v>0</v>
      </c>
      <c r="L64" s="23">
        <v>0</v>
      </c>
      <c r="M64" s="23">
        <v>0</v>
      </c>
      <c r="N64" s="24">
        <v>0</v>
      </c>
      <c r="O64" s="24">
        <v>0</v>
      </c>
      <c r="P64" s="23">
        <v>0</v>
      </c>
      <c r="Q64" s="23">
        <v>0</v>
      </c>
      <c r="R64" s="24">
        <v>0</v>
      </c>
      <c r="S64" s="24">
        <v>0</v>
      </c>
      <c r="T64" s="23">
        <v>0</v>
      </c>
      <c r="U64" s="23">
        <v>0</v>
      </c>
      <c r="V64" s="24">
        <v>0</v>
      </c>
      <c r="W64" s="24">
        <v>0</v>
      </c>
      <c r="X64" s="23">
        <v>0</v>
      </c>
      <c r="Y64" s="23">
        <v>0</v>
      </c>
      <c r="Z64" s="80">
        <v>0</v>
      </c>
      <c r="AA64" s="80">
        <v>0</v>
      </c>
      <c r="AB64" s="79">
        <v>0</v>
      </c>
      <c r="AC64" s="79">
        <v>0</v>
      </c>
      <c r="AD64" s="80">
        <v>0</v>
      </c>
      <c r="AE64" s="80">
        <v>0</v>
      </c>
      <c r="AF64" s="23">
        <v>0</v>
      </c>
      <c r="AG64" s="23">
        <v>0</v>
      </c>
      <c r="AH64" s="24">
        <v>0</v>
      </c>
      <c r="AI64" s="24">
        <v>0</v>
      </c>
    </row>
    <row r="65" spans="1:35" x14ac:dyDescent="0.3">
      <c r="A65" s="17">
        <f t="shared" si="4"/>
        <v>16</v>
      </c>
      <c r="B65" s="92">
        <v>896</v>
      </c>
      <c r="C65" s="88" t="str">
        <f>_xlfn.XLOOKUP(__xlnm._FilterDatabase_158[[#This Row],[SAPSA Number]],Table1[SAPSA number],Table1[Paid up])</f>
        <v>Y</v>
      </c>
      <c r="D65" s="39" t="str">
        <f>_xlfn.XLOOKUP(__xlnm._FilterDatabase_158[[#This Row],[SAPSA Number]],Table1[SAPSA number],Table1[Name])</f>
        <v>Johannes Francois</v>
      </c>
      <c r="E65" s="39" t="str">
        <f>_xlfn.XLOOKUP(__xlnm._FilterDatabase_158[[#This Row],[SAPSA Number]],Table1[SAPSA number],Table1[Surname])</f>
        <v>Wheeler</v>
      </c>
      <c r="F65" s="28" t="str">
        <f>_xlfn.XLOOKUP(__xlnm._FilterDatabase_158[[#This Row],[SAPSA Number]],Table1[SAPSA number],Table1[Initials])</f>
        <v>JF</v>
      </c>
      <c r="G65" s="17" t="str">
        <f ca="1">_xlfn.XLOOKUP(__xlnm._FilterDatabase_158[[#This Row],[SAPSA Number]],Table1[SAPSA number],Table1[Gender])</f>
        <v xml:space="preserve"> </v>
      </c>
      <c r="H65" s="19" t="e">
        <f>_xlfn.XLOOKUP(__xlnm._FilterDatabase_158[[#This Row],[SAPSA Number]],#REF!,#REF!)</f>
        <v>#REF!</v>
      </c>
      <c r="I65" s="19" t="s">
        <v>241</v>
      </c>
      <c r="J65" s="21">
        <f>(IF(L65&gt;0,1,0)+(IF(__xlnm._FilterDatabase_158[[#This Row],[Jan2]]&gt;0,1,0))+(IF(__xlnm._FilterDatabase_158[[#This Row],[Feb2]]&gt;0,1,0))+(IF(N65&gt;0,1,0))+(IF(P65&gt;0,1,0))+(IF(Q65&gt;0,1,0))+(IF(R65&gt;0,1,0))+(IF(T65&gt;0,1,0))+(IF(U65&gt;0,1,0))+(IF(V65&gt;0,1,0))+(IF(X65&gt;0,1,0))+(IF(Y65&gt;0,1,0))+(IF(Z65&gt;0,1,0))+(IF(AA65&gt;0,1,0))+(IF(AB65&gt;0,1,0))+(IF(AC65&gt;0,1,0))+(IF(AD65&gt;0,1,0))+(IF(AE65&gt;0,1,0))+(IF(AF65&gt;0,1,0))+(IF(AH65&gt;0,1,0))+(IF(AG65&gt;0,1,0))+(IF(__xlnm._FilterDatabase_158[[#This Row],[Apr2]]&gt;0,1,0)+(IF(__xlnm._FilterDatabase_158[[#This Row],[Jun2]]&gt;0,1,0))))</f>
        <v>0</v>
      </c>
      <c r="K65" s="22">
        <f t="shared" si="3"/>
        <v>0</v>
      </c>
      <c r="L65" s="23">
        <v>0</v>
      </c>
      <c r="M65" s="23">
        <v>0</v>
      </c>
      <c r="N65" s="24">
        <v>0</v>
      </c>
      <c r="O65" s="24">
        <v>0</v>
      </c>
      <c r="P65" s="23">
        <v>0</v>
      </c>
      <c r="Q65" s="23">
        <v>0</v>
      </c>
      <c r="R65" s="24">
        <v>0</v>
      </c>
      <c r="S65" s="24">
        <v>0</v>
      </c>
      <c r="T65" s="23">
        <v>0</v>
      </c>
      <c r="U65" s="23">
        <v>0</v>
      </c>
      <c r="V65" s="24">
        <v>0</v>
      </c>
      <c r="W65" s="24">
        <v>0</v>
      </c>
      <c r="X65" s="23">
        <v>0</v>
      </c>
      <c r="Y65" s="23">
        <v>0</v>
      </c>
      <c r="Z65" s="80">
        <v>0</v>
      </c>
      <c r="AA65" s="80">
        <v>0</v>
      </c>
      <c r="AB65" s="79">
        <v>0</v>
      </c>
      <c r="AC65" s="79">
        <v>0</v>
      </c>
      <c r="AD65" s="80">
        <v>0</v>
      </c>
      <c r="AE65" s="80">
        <v>0</v>
      </c>
      <c r="AF65" s="23">
        <v>0</v>
      </c>
      <c r="AG65" s="23">
        <v>0</v>
      </c>
      <c r="AH65" s="24">
        <v>0</v>
      </c>
      <c r="AI65" s="24">
        <v>0</v>
      </c>
    </row>
    <row r="66" spans="1:35" x14ac:dyDescent="0.3">
      <c r="A66" s="17">
        <f t="shared" si="4"/>
        <v>16</v>
      </c>
      <c r="B66" s="90">
        <v>206</v>
      </c>
      <c r="C66" s="88">
        <f>_xlfn.XLOOKUP(__xlnm._FilterDatabase_158[[#This Row],[SAPSA Number]],Table1[SAPSA number],Table1[Paid up])</f>
        <v>0</v>
      </c>
      <c r="D66" s="39" t="str">
        <f>_xlfn.XLOOKUP(__xlnm._FilterDatabase_158[[#This Row],[SAPSA Number]],Table1[SAPSA number],Table1[Name])</f>
        <v>Pierre Dewald</v>
      </c>
      <c r="E66" s="39" t="str">
        <f>_xlfn.XLOOKUP(__xlnm._FilterDatabase_158[[#This Row],[SAPSA Number]],Table1[SAPSA number],Table1[Surname])</f>
        <v>Wrogemann</v>
      </c>
      <c r="F66" s="28" t="str">
        <f>_xlfn.XLOOKUP(__xlnm._FilterDatabase_158[[#This Row],[SAPSA Number]],Table1[SAPSA number],Table1[Initials])</f>
        <v>PD</v>
      </c>
      <c r="G66" s="17" t="str">
        <f ca="1">_xlfn.XLOOKUP(__xlnm._FilterDatabase_158[[#This Row],[SAPSA Number]],Table1[SAPSA number],Table1[Gender])</f>
        <v>S</v>
      </c>
      <c r="H66" s="19" t="e">
        <f>_xlfn.XLOOKUP(__xlnm._FilterDatabase_158[[#This Row],[SAPSA Number]],#REF!,#REF!)</f>
        <v>#REF!</v>
      </c>
      <c r="I66" s="19" t="s">
        <v>241</v>
      </c>
      <c r="J66" s="21">
        <f>(IF(L66&gt;0,1,0)+(IF(__xlnm._FilterDatabase_158[[#This Row],[Jan2]]&gt;0,1,0))+(IF(__xlnm._FilterDatabase_158[[#This Row],[Feb2]]&gt;0,1,0))+(IF(N66&gt;0,1,0))+(IF(P66&gt;0,1,0))+(IF(Q66&gt;0,1,0))+(IF(R66&gt;0,1,0))+(IF(T66&gt;0,1,0))+(IF(U66&gt;0,1,0))+(IF(V66&gt;0,1,0))+(IF(X66&gt;0,1,0))+(IF(Y66&gt;0,1,0))+(IF(Z66&gt;0,1,0))+(IF(AA66&gt;0,1,0))+(IF(AB66&gt;0,1,0))+(IF(AC66&gt;0,1,0))+(IF(AD66&gt;0,1,0))+(IF(AE66&gt;0,1,0))+(IF(AF66&gt;0,1,0))+(IF(AH66&gt;0,1,0))+(IF(AG66&gt;0,1,0))+(IF(__xlnm._FilterDatabase_158[[#This Row],[Apr2]]&gt;0,1,0)+(IF(__xlnm._FilterDatabase_158[[#This Row],[Jun2]]&gt;0,1,0))))</f>
        <v>0</v>
      </c>
      <c r="K66" s="22">
        <f t="shared" ref="K66:K97" si="5">(LARGE(L66:AI66,1)+LARGE(L66:AI66,2)+LARGE(L66:AI66,3)+LARGE(L66:AI66,4)+LARGE(L66:AI66,5)+LARGE(L66:AI66,6))/6</f>
        <v>0</v>
      </c>
      <c r="L66" s="23">
        <v>0</v>
      </c>
      <c r="M66" s="23">
        <v>0</v>
      </c>
      <c r="N66" s="24">
        <v>0</v>
      </c>
      <c r="O66" s="24">
        <v>0</v>
      </c>
      <c r="P66" s="23">
        <v>0</v>
      </c>
      <c r="Q66" s="23">
        <v>0</v>
      </c>
      <c r="R66" s="24">
        <v>0</v>
      </c>
      <c r="S66" s="24">
        <v>0</v>
      </c>
      <c r="T66" s="23">
        <v>0</v>
      </c>
      <c r="U66" s="23">
        <v>0</v>
      </c>
      <c r="V66" s="24">
        <v>0</v>
      </c>
      <c r="W66" s="24">
        <v>0</v>
      </c>
      <c r="X66" s="23">
        <v>0</v>
      </c>
      <c r="Y66" s="23">
        <v>0</v>
      </c>
      <c r="Z66" s="80">
        <v>0</v>
      </c>
      <c r="AA66" s="80">
        <v>0</v>
      </c>
      <c r="AB66" s="79">
        <v>0</v>
      </c>
      <c r="AC66" s="79">
        <v>0</v>
      </c>
      <c r="AD66" s="80">
        <v>0</v>
      </c>
      <c r="AE66" s="80">
        <v>0</v>
      </c>
      <c r="AF66" s="23">
        <v>0</v>
      </c>
      <c r="AG66" s="23">
        <v>0</v>
      </c>
      <c r="AH66" s="24">
        <v>0</v>
      </c>
      <c r="AI66" s="24">
        <v>0</v>
      </c>
    </row>
    <row r="67" spans="1:35" x14ac:dyDescent="0.3">
      <c r="A67" s="17">
        <f t="shared" si="4"/>
        <v>16</v>
      </c>
      <c r="B67" s="27">
        <v>3810</v>
      </c>
      <c r="C67" s="88"/>
      <c r="D67" s="39" t="str">
        <f>_xlfn.XLOOKUP(__xlnm._FilterDatabase_158[[#This Row],[SAPSA Number]],Table1[SAPSA number],Table1[Name])</f>
        <v>Roelof</v>
      </c>
      <c r="E67" s="39" t="str">
        <f>_xlfn.XLOOKUP(__xlnm._FilterDatabase_158[[#This Row],[SAPSA Number]],Table1[SAPSA number],Table1[Surname])</f>
        <v>Liebenberg</v>
      </c>
      <c r="F67" s="28" t="str">
        <f>_xlfn.XLOOKUP(__xlnm._FilterDatabase_158[[#This Row],[SAPSA Number]],Table1[SAPSA number],Table1[Initials])</f>
        <v>R</v>
      </c>
      <c r="G67" s="17" t="str">
        <f ca="1">_xlfn.XLOOKUP(__xlnm._FilterDatabase_158[[#This Row],[SAPSA Number]],Table1[SAPSA number],Table1[Gender])</f>
        <v>S</v>
      </c>
      <c r="H67" s="19" t="e">
        <f>_xlfn.XLOOKUP(__xlnm._FilterDatabase_158[[#This Row],[SAPSA Number]],#REF!,#REF!)</f>
        <v>#REF!</v>
      </c>
      <c r="I67" s="19" t="s">
        <v>241</v>
      </c>
      <c r="J67" s="21">
        <f>(IF(L67&gt;0,1,0)+(IF(__xlnm._FilterDatabase_158[[#This Row],[Jan2]]&gt;0,1,0))+(IF(__xlnm._FilterDatabase_158[[#This Row],[Feb2]]&gt;0,1,0))+(IF(N67&gt;0,1,0))+(IF(P67&gt;0,1,0))+(IF(Q67&gt;0,1,0))+(IF(R67&gt;0,1,0))+(IF(T67&gt;0,1,0))+(IF(U67&gt;0,1,0))+(IF(V67&gt;0,1,0))+(IF(X67&gt;0,1,0))+(IF(Y67&gt;0,1,0))+(IF(Z67&gt;0,1,0))+(IF(AA67&gt;0,1,0))+(IF(AB67&gt;0,1,0))+(IF(AC67&gt;0,1,0))+(IF(AD67&gt;0,1,0))+(IF(AE67&gt;0,1,0))+(IF(AF67&gt;0,1,0))+(IF(AH67&gt;0,1,0))+(IF(AG67&gt;0,1,0))+(IF(__xlnm._FilterDatabase_158[[#This Row],[Apr2]]&gt;0,1,0)+(IF(__xlnm._FilterDatabase_158[[#This Row],[Jun2]]&gt;0,1,0))))</f>
        <v>0</v>
      </c>
      <c r="K67" s="22">
        <f t="shared" si="5"/>
        <v>0</v>
      </c>
      <c r="L67" s="23">
        <v>0</v>
      </c>
      <c r="M67" s="23">
        <v>0</v>
      </c>
      <c r="N67" s="24">
        <v>0</v>
      </c>
      <c r="O67" s="24">
        <v>0</v>
      </c>
      <c r="P67" s="23">
        <v>0</v>
      </c>
      <c r="Q67" s="23">
        <v>0</v>
      </c>
      <c r="R67" s="24">
        <v>0</v>
      </c>
      <c r="S67" s="24">
        <v>0</v>
      </c>
      <c r="T67" s="23">
        <v>0</v>
      </c>
      <c r="U67" s="23">
        <v>0</v>
      </c>
      <c r="V67" s="24">
        <v>0</v>
      </c>
      <c r="W67" s="24">
        <v>0</v>
      </c>
      <c r="X67" s="23">
        <v>0</v>
      </c>
      <c r="Y67" s="23">
        <v>0</v>
      </c>
      <c r="Z67" s="80">
        <v>0</v>
      </c>
      <c r="AA67" s="80">
        <v>0</v>
      </c>
      <c r="AB67" s="79">
        <v>0</v>
      </c>
      <c r="AC67" s="79">
        <v>0</v>
      </c>
      <c r="AD67" s="80">
        <v>0</v>
      </c>
      <c r="AE67" s="80">
        <v>0</v>
      </c>
      <c r="AF67" s="23">
        <v>0</v>
      </c>
      <c r="AG67" s="23">
        <v>0</v>
      </c>
      <c r="AH67" s="24">
        <v>0</v>
      </c>
      <c r="AI67" s="24">
        <v>0</v>
      </c>
    </row>
    <row r="68" spans="1:35" x14ac:dyDescent="0.3">
      <c r="A68" s="17">
        <f t="shared" si="4"/>
        <v>16</v>
      </c>
      <c r="B68" s="90">
        <v>401</v>
      </c>
      <c r="C68" s="88"/>
      <c r="D68" s="39" t="str">
        <f>_xlfn.XLOOKUP(__xlnm._FilterDatabase_158[[#This Row],[SAPSA Number]],Table1[SAPSA number],Table1[Name])</f>
        <v>Sebella</v>
      </c>
      <c r="E68" s="39" t="str">
        <f>_xlfn.XLOOKUP(__xlnm._FilterDatabase_158[[#This Row],[SAPSA Number]],Table1[SAPSA number],Table1[Surname])</f>
        <v>O'Donovan</v>
      </c>
      <c r="F68" s="28" t="str">
        <f>_xlfn.XLOOKUP(__xlnm._FilterDatabase_158[[#This Row],[SAPSA Number]],Table1[SAPSA number],Table1[Initials])</f>
        <v>S</v>
      </c>
      <c r="G68" s="17" t="str">
        <f>_xlfn.XLOOKUP(__xlnm._FilterDatabase_158[[#This Row],[SAPSA Number]],Table1[SAPSA number],Table1[Gender])</f>
        <v>Lady</v>
      </c>
      <c r="H68" s="19" t="e">
        <f>_xlfn.XLOOKUP(__xlnm._FilterDatabase_158[[#This Row],[SAPSA Number]],#REF!,#REF!)</f>
        <v>#REF!</v>
      </c>
      <c r="I68" s="19" t="s">
        <v>241</v>
      </c>
      <c r="J68" s="21">
        <f>(IF(L68&gt;0,1,0)+(IF(__xlnm._FilterDatabase_158[[#This Row],[Jan2]]&gt;0,1,0))+(IF(__xlnm._FilterDatabase_158[[#This Row],[Feb2]]&gt;0,1,0))+(IF(N68&gt;0,1,0))+(IF(P68&gt;0,1,0))+(IF(Q68&gt;0,1,0))+(IF(R68&gt;0,1,0))+(IF(T68&gt;0,1,0))+(IF(U68&gt;0,1,0))+(IF(V68&gt;0,1,0))+(IF(X68&gt;0,1,0))+(IF(Y68&gt;0,1,0))+(IF(Z68&gt;0,1,0))+(IF(AA68&gt;0,1,0))+(IF(AB68&gt;0,1,0))+(IF(AC68&gt;0,1,0))+(IF(AD68&gt;0,1,0))+(IF(AE68&gt;0,1,0))+(IF(AF68&gt;0,1,0))+(IF(AH68&gt;0,1,0))+(IF(AG68&gt;0,1,0))+(IF(__xlnm._FilterDatabase_158[[#This Row],[Apr2]]&gt;0,1,0)+(IF(__xlnm._FilterDatabase_158[[#This Row],[Jun2]]&gt;0,1,0))))</f>
        <v>0</v>
      </c>
      <c r="K68" s="22">
        <f t="shared" si="5"/>
        <v>0</v>
      </c>
      <c r="L68" s="23">
        <v>0</v>
      </c>
      <c r="M68" s="23">
        <v>0</v>
      </c>
      <c r="N68" s="24">
        <v>0</v>
      </c>
      <c r="O68" s="24">
        <v>0</v>
      </c>
      <c r="P68" s="23">
        <v>0</v>
      </c>
      <c r="Q68" s="23">
        <v>0</v>
      </c>
      <c r="R68" s="24">
        <v>0</v>
      </c>
      <c r="S68" s="24">
        <v>0</v>
      </c>
      <c r="T68" s="23">
        <v>0</v>
      </c>
      <c r="U68" s="23">
        <v>0</v>
      </c>
      <c r="V68" s="24">
        <v>0</v>
      </c>
      <c r="W68" s="24">
        <v>0</v>
      </c>
      <c r="X68" s="23">
        <v>0</v>
      </c>
      <c r="Y68" s="23">
        <v>0</v>
      </c>
      <c r="Z68" s="80">
        <v>0</v>
      </c>
      <c r="AA68" s="80">
        <v>0</v>
      </c>
      <c r="AB68" s="79">
        <v>0</v>
      </c>
      <c r="AC68" s="79">
        <v>0</v>
      </c>
      <c r="AD68" s="80">
        <v>0</v>
      </c>
      <c r="AE68" s="80">
        <v>0</v>
      </c>
      <c r="AF68" s="23">
        <v>0</v>
      </c>
      <c r="AG68" s="23">
        <v>0</v>
      </c>
      <c r="AH68" s="24">
        <v>0</v>
      </c>
      <c r="AI68" s="24">
        <v>0</v>
      </c>
    </row>
    <row r="69" spans="1:35" x14ac:dyDescent="0.3">
      <c r="A69" s="17">
        <f t="shared" si="4"/>
        <v>16</v>
      </c>
      <c r="B69" s="88">
        <v>1547</v>
      </c>
      <c r="C69" s="88"/>
      <c r="D69" s="39" t="str">
        <f>_xlfn.XLOOKUP(__xlnm._FilterDatabase_158[[#This Row],[SAPSA Number]],Table1[SAPSA number],Table1[Name])</f>
        <v>Marius Frans</v>
      </c>
      <c r="E69" s="39" t="str">
        <f>_xlfn.XLOOKUP(__xlnm._FilterDatabase_158[[#This Row],[SAPSA Number]],Table1[SAPSA number],Table1[Surname])</f>
        <v>van Biljon</v>
      </c>
      <c r="F69" s="28" t="str">
        <f>_xlfn.XLOOKUP(__xlnm._FilterDatabase_158[[#This Row],[SAPSA Number]],Table1[SAPSA number],Table1[Initials])</f>
        <v>MF</v>
      </c>
      <c r="G69" s="17" t="str">
        <f ca="1">_xlfn.XLOOKUP(__xlnm._FilterDatabase_158[[#This Row],[SAPSA Number]],Table1[SAPSA number],Table1[Gender])</f>
        <v>S</v>
      </c>
      <c r="H69" s="19" t="e">
        <f>_xlfn.XLOOKUP(__xlnm._FilterDatabase_158[[#This Row],[SAPSA Number]],#REF!,#REF!)</f>
        <v>#REF!</v>
      </c>
      <c r="I69" s="19" t="s">
        <v>241</v>
      </c>
      <c r="J69" s="21">
        <f>(IF(L69&gt;0,1,0)+(IF(__xlnm._FilterDatabase_158[[#This Row],[Jan2]]&gt;0,1,0))+(IF(__xlnm._FilterDatabase_158[[#This Row],[Feb2]]&gt;0,1,0))+(IF(N69&gt;0,1,0))+(IF(P69&gt;0,1,0))+(IF(Q69&gt;0,1,0))+(IF(R69&gt;0,1,0))+(IF(T69&gt;0,1,0))+(IF(U69&gt;0,1,0))+(IF(V69&gt;0,1,0))+(IF(X69&gt;0,1,0))+(IF(Y69&gt;0,1,0))+(IF(Z69&gt;0,1,0))+(IF(AA69&gt;0,1,0))+(IF(AB69&gt;0,1,0))+(IF(AC69&gt;0,1,0))+(IF(AD69&gt;0,1,0))+(IF(AE69&gt;0,1,0))+(IF(AF69&gt;0,1,0))+(IF(AH69&gt;0,1,0))+(IF(AG69&gt;0,1,0))+(IF(__xlnm._FilterDatabase_158[[#This Row],[Apr2]]&gt;0,1,0)+(IF(__xlnm._FilterDatabase_158[[#This Row],[Jun2]]&gt;0,1,0))))</f>
        <v>0</v>
      </c>
      <c r="K69" s="22">
        <f t="shared" si="5"/>
        <v>0</v>
      </c>
      <c r="L69" s="23">
        <v>0</v>
      </c>
      <c r="M69" s="23">
        <v>0</v>
      </c>
      <c r="N69" s="24">
        <v>0</v>
      </c>
      <c r="O69" s="24">
        <v>0</v>
      </c>
      <c r="P69" s="23">
        <v>0</v>
      </c>
      <c r="Q69" s="23">
        <v>0</v>
      </c>
      <c r="R69" s="24">
        <v>0</v>
      </c>
      <c r="S69" s="24">
        <v>0</v>
      </c>
      <c r="T69" s="23">
        <v>0</v>
      </c>
      <c r="U69" s="23">
        <v>0</v>
      </c>
      <c r="V69" s="24">
        <v>0</v>
      </c>
      <c r="W69" s="24">
        <v>0</v>
      </c>
      <c r="X69" s="23">
        <v>0</v>
      </c>
      <c r="Y69" s="23">
        <v>0</v>
      </c>
      <c r="Z69" s="80">
        <v>0</v>
      </c>
      <c r="AA69" s="80">
        <v>0</v>
      </c>
      <c r="AB69" s="79">
        <v>0</v>
      </c>
      <c r="AC69" s="79">
        <v>0</v>
      </c>
      <c r="AD69" s="80">
        <v>0</v>
      </c>
      <c r="AE69" s="80">
        <v>0</v>
      </c>
      <c r="AF69" s="23">
        <v>0</v>
      </c>
      <c r="AG69" s="23">
        <v>0</v>
      </c>
      <c r="AH69" s="24">
        <v>0</v>
      </c>
      <c r="AI69" s="24">
        <v>0</v>
      </c>
    </row>
    <row r="70" spans="1:35" x14ac:dyDescent="0.3">
      <c r="A70" s="17">
        <f t="shared" si="4"/>
        <v>16</v>
      </c>
      <c r="B70" s="88">
        <v>3837</v>
      </c>
      <c r="C70" s="88"/>
      <c r="D70" s="39" t="str">
        <f>_xlfn.XLOOKUP(__xlnm._FilterDatabase_158[[#This Row],[SAPSA Number]],Table1[SAPSA number],Table1[Name])</f>
        <v>Daneel</v>
      </c>
      <c r="E70" s="39" t="str">
        <f>_xlfn.XLOOKUP(__xlnm._FilterDatabase_158[[#This Row],[SAPSA Number]],Table1[SAPSA number],Table1[Surname])</f>
        <v>van eck</v>
      </c>
      <c r="F70" s="28" t="str">
        <f>_xlfn.XLOOKUP(__xlnm._FilterDatabase_158[[#This Row],[SAPSA Number]],Table1[SAPSA number],Table1[Initials])</f>
        <v>DJ</v>
      </c>
      <c r="G70" s="17" t="str">
        <f ca="1">_xlfn.XLOOKUP(__xlnm._FilterDatabase_158[[#This Row],[SAPSA Number]],Table1[SAPSA number],Table1[Gender])</f>
        <v xml:space="preserve"> </v>
      </c>
      <c r="H70" s="19" t="e">
        <f>_xlfn.XLOOKUP(__xlnm._FilterDatabase_158[[#This Row],[SAPSA Number]],#REF!,#REF!)</f>
        <v>#REF!</v>
      </c>
      <c r="I70" s="19" t="s">
        <v>241</v>
      </c>
      <c r="J70" s="21">
        <f>(IF(L70&gt;0,1,0)+(IF(__xlnm._FilterDatabase_158[[#This Row],[Jan2]]&gt;0,1,0))+(IF(__xlnm._FilterDatabase_158[[#This Row],[Feb2]]&gt;0,1,0))+(IF(N70&gt;0,1,0))+(IF(P70&gt;0,1,0))+(IF(Q70&gt;0,1,0))+(IF(R70&gt;0,1,0))+(IF(T70&gt;0,1,0))+(IF(U70&gt;0,1,0))+(IF(V70&gt;0,1,0))+(IF(X70&gt;0,1,0))+(IF(Y70&gt;0,1,0))+(IF(Z70&gt;0,1,0))+(IF(AA70&gt;0,1,0))+(IF(AB70&gt;0,1,0))+(IF(AC70&gt;0,1,0))+(IF(AD70&gt;0,1,0))+(IF(AE70&gt;0,1,0))+(IF(AF70&gt;0,1,0))+(IF(AH70&gt;0,1,0))+(IF(AG70&gt;0,1,0))+(IF(__xlnm._FilterDatabase_158[[#This Row],[Apr2]]&gt;0,1,0)+(IF(__xlnm._FilterDatabase_158[[#This Row],[Jun2]]&gt;0,1,0))))</f>
        <v>0</v>
      </c>
      <c r="K70" s="22">
        <f t="shared" si="5"/>
        <v>0</v>
      </c>
      <c r="L70" s="23">
        <v>0</v>
      </c>
      <c r="M70" s="23">
        <v>0</v>
      </c>
      <c r="N70" s="24">
        <v>0</v>
      </c>
      <c r="O70" s="24">
        <v>0</v>
      </c>
      <c r="P70" s="23">
        <v>0</v>
      </c>
      <c r="Q70" s="23">
        <v>0</v>
      </c>
      <c r="R70" s="24">
        <v>0</v>
      </c>
      <c r="S70" s="24">
        <v>0</v>
      </c>
      <c r="T70" s="23">
        <v>0</v>
      </c>
      <c r="U70" s="23">
        <v>0</v>
      </c>
      <c r="V70" s="24">
        <v>0</v>
      </c>
      <c r="W70" s="24">
        <v>0</v>
      </c>
      <c r="X70" s="23">
        <v>0</v>
      </c>
      <c r="Y70" s="23">
        <v>0</v>
      </c>
      <c r="Z70" s="80">
        <v>0</v>
      </c>
      <c r="AA70" s="80">
        <v>0</v>
      </c>
      <c r="AB70" s="79">
        <v>0</v>
      </c>
      <c r="AC70" s="79">
        <v>0</v>
      </c>
      <c r="AD70" s="80">
        <v>0</v>
      </c>
      <c r="AE70" s="80">
        <v>0</v>
      </c>
      <c r="AF70" s="23">
        <v>0</v>
      </c>
      <c r="AG70" s="23">
        <v>0</v>
      </c>
      <c r="AH70" s="24">
        <v>0</v>
      </c>
      <c r="AI70" s="24">
        <v>0</v>
      </c>
    </row>
    <row r="71" spans="1:35" x14ac:dyDescent="0.3">
      <c r="A71" s="17"/>
      <c r="B71" s="98"/>
      <c r="C71" s="88"/>
      <c r="D71" s="39"/>
      <c r="E71" s="39"/>
      <c r="F71" s="28"/>
      <c r="G71" s="17"/>
      <c r="H71" s="19"/>
      <c r="I71" s="19"/>
      <c r="J71" s="21"/>
      <c r="K71" s="22"/>
      <c r="L71" s="23"/>
      <c r="M71" s="23"/>
      <c r="N71" s="24"/>
      <c r="O71" s="24"/>
      <c r="P71" s="23"/>
      <c r="Q71" s="23"/>
      <c r="R71" s="24"/>
      <c r="S71" s="24"/>
      <c r="T71" s="23"/>
      <c r="U71" s="23"/>
      <c r="V71" s="24"/>
      <c r="W71" s="24"/>
      <c r="X71" s="23"/>
      <c r="Y71" s="23"/>
      <c r="Z71" s="80"/>
      <c r="AA71" s="80"/>
      <c r="AB71" s="79"/>
      <c r="AC71" s="79"/>
      <c r="AD71" s="80"/>
      <c r="AE71" s="80"/>
      <c r="AF71" s="23"/>
      <c r="AG71" s="23"/>
      <c r="AH71" s="24"/>
      <c r="AI71" s="24"/>
    </row>
    <row r="72" spans="1:35" x14ac:dyDescent="0.3">
      <c r="A72" s="17"/>
      <c r="B72" s="90"/>
      <c r="C72" s="88"/>
      <c r="D72" s="39"/>
      <c r="E72" s="39"/>
      <c r="F72" s="28"/>
      <c r="G72" s="17"/>
      <c r="H72" s="19"/>
      <c r="I72" s="19"/>
      <c r="J72" s="21"/>
      <c r="K72" s="22"/>
      <c r="L72" s="23"/>
      <c r="M72" s="23"/>
      <c r="N72" s="24"/>
      <c r="O72" s="24"/>
      <c r="P72" s="23"/>
      <c r="Q72" s="23"/>
      <c r="R72" s="24"/>
      <c r="S72" s="24"/>
      <c r="T72" s="23"/>
      <c r="U72" s="23"/>
      <c r="V72" s="24"/>
      <c r="W72" s="24"/>
      <c r="X72" s="23"/>
      <c r="Y72" s="23"/>
      <c r="Z72" s="80"/>
      <c r="AA72" s="80"/>
      <c r="AB72" s="79"/>
      <c r="AC72" s="79"/>
      <c r="AD72" s="80"/>
      <c r="AE72" s="80"/>
      <c r="AF72" s="23"/>
      <c r="AG72" s="23"/>
      <c r="AH72" s="24"/>
      <c r="AI72" s="24"/>
    </row>
    <row r="73" spans="1:35" x14ac:dyDescent="0.3">
      <c r="A73" s="17"/>
      <c r="B73" s="27"/>
      <c r="C73" s="88"/>
      <c r="D73" s="39"/>
      <c r="E73" s="39"/>
      <c r="F73" s="28"/>
      <c r="G73" s="17"/>
      <c r="H73" s="19"/>
      <c r="I73" s="19"/>
      <c r="J73" s="21"/>
      <c r="K73" s="22"/>
      <c r="L73" s="23"/>
      <c r="M73" s="23"/>
      <c r="N73" s="24"/>
      <c r="O73" s="24"/>
      <c r="P73" s="23"/>
      <c r="Q73" s="23"/>
      <c r="R73" s="24"/>
      <c r="S73" s="24"/>
      <c r="T73" s="23"/>
      <c r="U73" s="23"/>
      <c r="V73" s="24"/>
      <c r="W73" s="24"/>
      <c r="X73" s="23"/>
      <c r="Y73" s="23"/>
      <c r="Z73" s="80"/>
      <c r="AA73" s="80"/>
      <c r="AB73" s="79"/>
      <c r="AC73" s="79"/>
      <c r="AD73" s="80"/>
      <c r="AE73" s="80"/>
      <c r="AF73" s="23"/>
      <c r="AG73" s="23"/>
      <c r="AH73" s="24"/>
      <c r="AI73" s="24"/>
    </row>
    <row r="74" spans="1:35" x14ac:dyDescent="0.3">
      <c r="A74" s="31"/>
      <c r="B74" s="96"/>
      <c r="C74" s="88"/>
      <c r="D74" s="39"/>
      <c r="E74" s="39"/>
      <c r="F74" s="28"/>
      <c r="G74" s="17"/>
      <c r="H74" s="19"/>
      <c r="I74" s="19"/>
      <c r="J74" s="21"/>
      <c r="K74" s="22"/>
      <c r="L74" s="23"/>
      <c r="M74" s="23"/>
      <c r="N74" s="24"/>
      <c r="O74" s="24"/>
      <c r="P74" s="23"/>
      <c r="Q74" s="23"/>
      <c r="R74" s="24"/>
      <c r="S74" s="24"/>
      <c r="T74" s="23"/>
      <c r="U74" s="23"/>
      <c r="V74" s="24"/>
      <c r="W74" s="24"/>
      <c r="X74" s="23"/>
      <c r="Y74" s="23"/>
      <c r="Z74" s="80"/>
      <c r="AA74" s="80"/>
      <c r="AB74" s="79"/>
      <c r="AC74" s="79"/>
      <c r="AD74" s="80"/>
      <c r="AE74" s="80"/>
      <c r="AF74" s="23"/>
      <c r="AG74" s="23"/>
      <c r="AH74" s="24"/>
      <c r="AI74" s="24"/>
    </row>
    <row r="75" spans="1:35" x14ac:dyDescent="0.3">
      <c r="A75" s="31"/>
      <c r="B75" s="94"/>
      <c r="C75" s="88"/>
      <c r="D75" s="39"/>
      <c r="E75" s="39"/>
      <c r="F75" s="28"/>
      <c r="G75" s="17"/>
      <c r="H75" s="19"/>
      <c r="I75" s="19"/>
      <c r="J75" s="21"/>
      <c r="K75" s="22"/>
      <c r="L75" s="23"/>
      <c r="M75" s="23"/>
      <c r="N75" s="24"/>
      <c r="O75" s="24"/>
      <c r="P75" s="23"/>
      <c r="Q75" s="23"/>
      <c r="R75" s="24"/>
      <c r="S75" s="24"/>
      <c r="T75" s="23"/>
      <c r="U75" s="23"/>
      <c r="V75" s="24"/>
      <c r="W75" s="24"/>
      <c r="X75" s="23"/>
      <c r="Y75" s="23"/>
      <c r="Z75" s="80"/>
      <c r="AA75" s="80"/>
      <c r="AB75" s="79"/>
      <c r="AC75" s="79"/>
      <c r="AD75" s="80"/>
      <c r="AE75" s="80"/>
      <c r="AF75" s="23"/>
      <c r="AG75" s="23"/>
      <c r="AH75" s="24"/>
      <c r="AI75" s="24"/>
    </row>
    <row r="76" spans="1:35" x14ac:dyDescent="0.3">
      <c r="A76" s="31"/>
      <c r="B76" s="94"/>
      <c r="C76" s="88"/>
      <c r="D76" s="39"/>
      <c r="E76" s="39"/>
      <c r="F76" s="28"/>
      <c r="G76" s="17"/>
      <c r="H76" s="19"/>
      <c r="I76" s="19"/>
      <c r="J76" s="21"/>
      <c r="K76" s="22"/>
      <c r="L76" s="23"/>
      <c r="M76" s="23"/>
      <c r="N76" s="24"/>
      <c r="O76" s="24"/>
      <c r="P76" s="23"/>
      <c r="Q76" s="23"/>
      <c r="R76" s="24"/>
      <c r="S76" s="24"/>
      <c r="T76" s="23"/>
      <c r="U76" s="23"/>
      <c r="V76" s="24"/>
      <c r="W76" s="24"/>
      <c r="X76" s="23"/>
      <c r="Y76" s="23"/>
      <c r="Z76" s="80"/>
      <c r="AA76" s="80"/>
      <c r="AB76" s="79"/>
      <c r="AC76" s="79"/>
      <c r="AD76" s="80"/>
      <c r="AE76" s="80"/>
      <c r="AF76" s="23"/>
      <c r="AG76" s="23"/>
      <c r="AH76" s="24"/>
      <c r="AI76" s="24"/>
    </row>
    <row r="77" spans="1:35" x14ac:dyDescent="0.3">
      <c r="A77" s="31"/>
      <c r="B77" s="94"/>
      <c r="C77" s="88"/>
      <c r="D77" s="39"/>
      <c r="E77" s="39"/>
      <c r="F77" s="28"/>
      <c r="G77" s="17"/>
      <c r="H77" s="19"/>
      <c r="I77" s="19"/>
      <c r="J77" s="21"/>
      <c r="K77" s="22"/>
      <c r="L77" s="23"/>
      <c r="M77" s="23"/>
      <c r="N77" s="24"/>
      <c r="O77" s="24"/>
      <c r="P77" s="23"/>
      <c r="Q77" s="23"/>
      <c r="R77" s="24"/>
      <c r="S77" s="24"/>
      <c r="T77" s="23"/>
      <c r="U77" s="23"/>
      <c r="V77" s="24"/>
      <c r="W77" s="24"/>
      <c r="X77" s="23"/>
      <c r="Y77" s="23"/>
      <c r="Z77" s="80"/>
      <c r="AA77" s="80"/>
      <c r="AB77" s="79"/>
      <c r="AC77" s="79"/>
      <c r="AD77" s="80"/>
      <c r="AE77" s="80"/>
      <c r="AF77" s="23"/>
      <c r="AG77" s="23"/>
      <c r="AH77" s="24"/>
      <c r="AI77" s="24"/>
    </row>
    <row r="78" spans="1:35" x14ac:dyDescent="0.3">
      <c r="A78" s="31"/>
      <c r="B78" s="94"/>
      <c r="C78" s="88"/>
      <c r="D78" s="39"/>
      <c r="E78" s="39"/>
      <c r="F78" s="28"/>
      <c r="G78" s="17"/>
      <c r="H78" s="19"/>
      <c r="I78" s="19"/>
      <c r="J78" s="21"/>
      <c r="K78" s="22"/>
      <c r="L78" s="23"/>
      <c r="M78" s="23"/>
      <c r="N78" s="24"/>
      <c r="O78" s="24"/>
      <c r="P78" s="23"/>
      <c r="Q78" s="23"/>
      <c r="R78" s="24"/>
      <c r="S78" s="24"/>
      <c r="T78" s="23"/>
      <c r="U78" s="23"/>
      <c r="V78" s="24"/>
      <c r="W78" s="24"/>
      <c r="X78" s="23"/>
      <c r="Y78" s="23"/>
      <c r="Z78" s="80"/>
      <c r="AA78" s="80"/>
      <c r="AB78" s="79"/>
      <c r="AC78" s="79"/>
      <c r="AD78" s="80"/>
      <c r="AE78" s="80"/>
      <c r="AF78" s="23"/>
      <c r="AG78" s="23"/>
      <c r="AH78" s="24"/>
      <c r="AI78" s="24"/>
    </row>
    <row r="79" spans="1:35" x14ac:dyDescent="0.3">
      <c r="A79" s="35"/>
      <c r="B79" s="94"/>
      <c r="C79" s="88"/>
      <c r="D79" s="39"/>
      <c r="E79" s="39"/>
      <c r="F79" s="28"/>
      <c r="G79" s="17"/>
      <c r="H79" s="19"/>
      <c r="I79" s="19"/>
      <c r="J79" s="21"/>
      <c r="K79" s="22"/>
      <c r="L79" s="23"/>
      <c r="M79" s="23"/>
      <c r="N79" s="24"/>
      <c r="O79" s="24"/>
      <c r="P79" s="23"/>
      <c r="Q79" s="23"/>
      <c r="R79" s="24"/>
      <c r="S79" s="24"/>
      <c r="T79" s="23"/>
      <c r="U79" s="23"/>
      <c r="V79" s="24"/>
      <c r="W79" s="24"/>
      <c r="X79" s="23"/>
      <c r="Y79" s="23"/>
      <c r="Z79" s="80"/>
      <c r="AA79" s="80"/>
      <c r="AB79" s="79"/>
      <c r="AC79" s="79"/>
      <c r="AD79" s="80"/>
      <c r="AE79" s="80"/>
      <c r="AF79" s="23"/>
      <c r="AG79" s="23"/>
      <c r="AH79" s="24"/>
      <c r="AI79" s="24"/>
    </row>
    <row r="80" spans="1:35" x14ac:dyDescent="0.3">
      <c r="A80" s="35"/>
      <c r="B80" s="44"/>
      <c r="C80" s="88"/>
      <c r="D80" s="39"/>
      <c r="E80" s="39"/>
      <c r="F80" s="28"/>
      <c r="G80" s="17"/>
      <c r="H80" s="19"/>
      <c r="I80" s="19"/>
      <c r="J80" s="21"/>
      <c r="K80" s="22"/>
      <c r="L80" s="23"/>
      <c r="M80" s="23"/>
      <c r="N80" s="24"/>
      <c r="O80" s="24"/>
      <c r="P80" s="23"/>
      <c r="Q80" s="23"/>
      <c r="R80" s="24"/>
      <c r="S80" s="24"/>
      <c r="T80" s="23"/>
      <c r="U80" s="23"/>
      <c r="V80" s="24"/>
      <c r="W80" s="24"/>
      <c r="X80" s="23"/>
      <c r="Y80" s="23"/>
      <c r="Z80" s="80"/>
      <c r="AA80" s="80"/>
      <c r="AB80" s="79"/>
      <c r="AC80" s="79"/>
      <c r="AD80" s="80"/>
      <c r="AE80" s="80"/>
      <c r="AF80" s="23"/>
      <c r="AG80" s="23"/>
      <c r="AH80" s="24"/>
      <c r="AI80" s="24"/>
    </row>
    <row r="81" spans="1:35" x14ac:dyDescent="0.3">
      <c r="A81" s="35"/>
      <c r="B81" s="43"/>
      <c r="C81" s="88"/>
      <c r="D81" s="39"/>
      <c r="E81" s="39"/>
      <c r="F81" s="28"/>
      <c r="G81" s="17"/>
      <c r="H81" s="19"/>
      <c r="I81" s="19"/>
      <c r="J81" s="21"/>
      <c r="K81" s="22"/>
      <c r="L81" s="23"/>
      <c r="M81" s="23"/>
      <c r="N81" s="24"/>
      <c r="O81" s="24"/>
      <c r="P81" s="23"/>
      <c r="Q81" s="23"/>
      <c r="R81" s="24"/>
      <c r="S81" s="24"/>
      <c r="T81" s="23"/>
      <c r="U81" s="23"/>
      <c r="V81" s="24"/>
      <c r="W81" s="24"/>
      <c r="X81" s="23"/>
      <c r="Y81" s="23"/>
      <c r="Z81" s="80"/>
      <c r="AA81" s="80"/>
      <c r="AB81" s="79"/>
      <c r="AC81" s="79"/>
      <c r="AD81" s="80"/>
      <c r="AE81" s="80"/>
      <c r="AF81" s="23"/>
      <c r="AG81" s="23"/>
      <c r="AH81" s="24"/>
      <c r="AI81" s="24"/>
    </row>
    <row r="82" spans="1:35" x14ac:dyDescent="0.3">
      <c r="A82" s="35"/>
      <c r="B82" s="93"/>
      <c r="C82" s="88"/>
      <c r="D82" s="39"/>
      <c r="E82" s="39"/>
      <c r="F82" s="28"/>
      <c r="G82" s="17"/>
      <c r="H82" s="19"/>
      <c r="I82" s="19"/>
      <c r="J82" s="21"/>
      <c r="K82" s="22"/>
      <c r="L82" s="23"/>
      <c r="M82" s="23"/>
      <c r="N82" s="24"/>
      <c r="O82" s="24"/>
      <c r="P82" s="23"/>
      <c r="Q82" s="23"/>
      <c r="R82" s="24"/>
      <c r="S82" s="24"/>
      <c r="T82" s="23"/>
      <c r="U82" s="23"/>
      <c r="V82" s="24"/>
      <c r="W82" s="24"/>
      <c r="X82" s="23"/>
      <c r="Y82" s="23"/>
      <c r="Z82" s="80"/>
      <c r="AA82" s="80"/>
      <c r="AB82" s="79"/>
      <c r="AC82" s="79"/>
      <c r="AD82" s="80"/>
      <c r="AE82" s="80"/>
      <c r="AF82" s="23"/>
      <c r="AG82" s="23"/>
      <c r="AH82" s="24"/>
      <c r="AI82" s="24"/>
    </row>
    <row r="83" spans="1:35" x14ac:dyDescent="0.3">
      <c r="A83" s="35"/>
      <c r="B83" s="93"/>
      <c r="C83" s="88"/>
      <c r="D83" s="39"/>
      <c r="E83" s="39"/>
      <c r="F83" s="28"/>
      <c r="G83" s="17"/>
      <c r="H83" s="19"/>
      <c r="I83" s="19"/>
      <c r="J83" s="21"/>
      <c r="K83" s="22"/>
      <c r="L83" s="23"/>
      <c r="M83" s="23"/>
      <c r="N83" s="24"/>
      <c r="O83" s="24"/>
      <c r="P83" s="23"/>
      <c r="Q83" s="23"/>
      <c r="R83" s="24"/>
      <c r="S83" s="24"/>
      <c r="T83" s="23"/>
      <c r="U83" s="23"/>
      <c r="V83" s="24"/>
      <c r="W83" s="24"/>
      <c r="X83" s="23"/>
      <c r="Y83" s="23"/>
      <c r="Z83" s="80"/>
      <c r="AA83" s="80"/>
      <c r="AB83" s="79"/>
      <c r="AC83" s="79"/>
      <c r="AD83" s="80"/>
      <c r="AE83" s="80"/>
      <c r="AF83" s="23"/>
      <c r="AG83" s="23"/>
      <c r="AH83" s="24"/>
      <c r="AI83" s="24"/>
    </row>
    <row r="84" spans="1:35" x14ac:dyDescent="0.3">
      <c r="A84" s="35"/>
      <c r="B84" s="93"/>
      <c r="C84" s="88"/>
      <c r="D84" s="39"/>
      <c r="E84" s="39"/>
      <c r="F84" s="28"/>
      <c r="G84" s="17"/>
      <c r="H84" s="19"/>
      <c r="I84" s="19"/>
      <c r="J84" s="21"/>
      <c r="K84" s="22"/>
      <c r="L84" s="23"/>
      <c r="M84" s="23"/>
      <c r="N84" s="24"/>
      <c r="O84" s="24"/>
      <c r="P84" s="23"/>
      <c r="Q84" s="23"/>
      <c r="R84" s="24"/>
      <c r="S84" s="24"/>
      <c r="T84" s="23"/>
      <c r="U84" s="23"/>
      <c r="V84" s="24"/>
      <c r="W84" s="24"/>
      <c r="X84" s="23"/>
      <c r="Y84" s="23"/>
      <c r="Z84" s="80"/>
      <c r="AA84" s="80"/>
      <c r="AB84" s="79"/>
      <c r="AC84" s="79"/>
      <c r="AD84" s="80"/>
      <c r="AE84" s="80"/>
      <c r="AF84" s="23"/>
      <c r="AG84" s="23"/>
      <c r="AH84" s="24"/>
      <c r="AI84" s="24"/>
    </row>
    <row r="85" spans="1:35" x14ac:dyDescent="0.3">
      <c r="A85" s="35"/>
      <c r="B85" s="93"/>
      <c r="C85" s="88"/>
      <c r="D85" s="39"/>
      <c r="E85" s="39"/>
      <c r="F85" s="28"/>
      <c r="G85" s="17"/>
      <c r="H85" s="19"/>
      <c r="I85" s="19"/>
      <c r="J85" s="21"/>
      <c r="K85" s="22"/>
      <c r="L85" s="23"/>
      <c r="M85" s="23"/>
      <c r="N85" s="24"/>
      <c r="O85" s="24"/>
      <c r="P85" s="23"/>
      <c r="Q85" s="23"/>
      <c r="R85" s="24"/>
      <c r="S85" s="24"/>
      <c r="T85" s="23"/>
      <c r="U85" s="23"/>
      <c r="V85" s="24"/>
      <c r="W85" s="24"/>
      <c r="X85" s="23"/>
      <c r="Y85" s="23"/>
      <c r="Z85" s="80"/>
      <c r="AA85" s="80"/>
      <c r="AB85" s="79"/>
      <c r="AC85" s="79"/>
      <c r="AD85" s="80"/>
      <c r="AE85" s="80"/>
      <c r="AF85" s="23"/>
      <c r="AG85" s="23"/>
      <c r="AH85" s="24"/>
      <c r="AI85" s="24"/>
    </row>
    <row r="86" spans="1:35" x14ac:dyDescent="0.3">
      <c r="A86" s="35"/>
      <c r="B86" s="93"/>
      <c r="C86" s="88"/>
      <c r="D86" s="39"/>
      <c r="E86" s="39"/>
      <c r="F86" s="28"/>
      <c r="G86" s="17"/>
      <c r="H86" s="19"/>
      <c r="I86" s="19"/>
      <c r="J86" s="21"/>
      <c r="K86" s="22"/>
      <c r="L86" s="23"/>
      <c r="M86" s="23"/>
      <c r="N86" s="24"/>
      <c r="O86" s="24"/>
      <c r="P86" s="23"/>
      <c r="Q86" s="23"/>
      <c r="R86" s="24"/>
      <c r="S86" s="24"/>
      <c r="T86" s="23"/>
      <c r="U86" s="23"/>
      <c r="V86" s="24"/>
      <c r="W86" s="24"/>
      <c r="X86" s="23"/>
      <c r="Y86" s="23"/>
      <c r="Z86" s="80"/>
      <c r="AA86" s="80"/>
      <c r="AB86" s="79"/>
      <c r="AC86" s="79"/>
      <c r="AD86" s="80"/>
      <c r="AE86" s="80"/>
      <c r="AF86" s="23"/>
      <c r="AG86" s="23"/>
      <c r="AH86" s="24"/>
      <c r="AI86" s="24"/>
    </row>
    <row r="87" spans="1:35" x14ac:dyDescent="0.3">
      <c r="A87" s="35"/>
      <c r="B87" s="94"/>
      <c r="C87" s="88"/>
      <c r="D87" s="39"/>
      <c r="E87" s="39"/>
      <c r="F87" s="28"/>
      <c r="G87" s="17"/>
      <c r="H87" s="19"/>
      <c r="I87" s="19"/>
      <c r="J87" s="21"/>
      <c r="K87" s="22"/>
      <c r="L87" s="23"/>
      <c r="M87" s="23"/>
      <c r="N87" s="24"/>
      <c r="O87" s="24"/>
      <c r="P87" s="23"/>
      <c r="Q87" s="23"/>
      <c r="R87" s="24"/>
      <c r="S87" s="24"/>
      <c r="T87" s="23"/>
      <c r="U87" s="23"/>
      <c r="V87" s="24"/>
      <c r="W87" s="24"/>
      <c r="X87" s="23"/>
      <c r="Y87" s="23"/>
      <c r="Z87" s="80"/>
      <c r="AA87" s="80"/>
      <c r="AB87" s="79"/>
      <c r="AC87" s="79"/>
      <c r="AD87" s="80"/>
      <c r="AE87" s="80"/>
      <c r="AF87" s="23"/>
      <c r="AG87" s="23"/>
      <c r="AH87" s="24"/>
      <c r="AI87" s="24"/>
    </row>
    <row r="88" spans="1:35" x14ac:dyDescent="0.3">
      <c r="A88" s="31"/>
      <c r="B88" s="93"/>
      <c r="C88" s="88"/>
      <c r="D88" s="39"/>
      <c r="E88" s="39"/>
      <c r="F88" s="28"/>
      <c r="G88" s="17"/>
      <c r="H88" s="19"/>
      <c r="I88" s="19"/>
      <c r="J88" s="21"/>
      <c r="K88" s="22"/>
      <c r="L88" s="23"/>
      <c r="M88" s="23"/>
      <c r="N88" s="24"/>
      <c r="O88" s="24"/>
      <c r="P88" s="23"/>
      <c r="Q88" s="23"/>
      <c r="R88" s="24"/>
      <c r="S88" s="24"/>
      <c r="T88" s="23"/>
      <c r="U88" s="23"/>
      <c r="V88" s="24"/>
      <c r="W88" s="24"/>
      <c r="X88" s="23"/>
      <c r="Y88" s="23"/>
      <c r="Z88" s="80"/>
      <c r="AA88" s="80"/>
      <c r="AB88" s="79"/>
      <c r="AC88" s="79"/>
      <c r="AD88" s="80"/>
      <c r="AE88" s="80"/>
      <c r="AF88" s="23"/>
      <c r="AG88" s="23"/>
      <c r="AH88" s="24"/>
      <c r="AI88" s="24"/>
    </row>
    <row r="89" spans="1:35" x14ac:dyDescent="0.3">
      <c r="A89" s="31"/>
      <c r="B89" s="93"/>
      <c r="C89" s="88"/>
      <c r="D89" s="39"/>
      <c r="E89" s="39"/>
      <c r="F89" s="28"/>
      <c r="G89" s="17"/>
      <c r="H89" s="19"/>
      <c r="I89" s="19"/>
      <c r="J89" s="21"/>
      <c r="K89" s="22"/>
      <c r="L89" s="23"/>
      <c r="M89" s="23"/>
      <c r="N89" s="24"/>
      <c r="O89" s="24"/>
      <c r="P89" s="23"/>
      <c r="Q89" s="23"/>
      <c r="R89" s="24"/>
      <c r="S89" s="24"/>
      <c r="T89" s="23"/>
      <c r="U89" s="23"/>
      <c r="V89" s="24"/>
      <c r="W89" s="24"/>
      <c r="X89" s="23"/>
      <c r="Y89" s="23"/>
      <c r="Z89" s="80"/>
      <c r="AA89" s="80"/>
      <c r="AB89" s="79"/>
      <c r="AC89" s="79"/>
      <c r="AD89" s="80"/>
      <c r="AE89" s="80"/>
      <c r="AF89" s="23"/>
      <c r="AG89" s="23"/>
      <c r="AH89" s="24"/>
      <c r="AI89" s="24"/>
    </row>
    <row r="90" spans="1:35" x14ac:dyDescent="0.3">
      <c r="A90" s="31"/>
      <c r="B90" s="93"/>
      <c r="C90" s="88"/>
      <c r="D90" s="39"/>
      <c r="E90" s="39"/>
      <c r="F90" s="28"/>
      <c r="G90" s="17"/>
      <c r="H90" s="19"/>
      <c r="I90" s="19"/>
      <c r="J90" s="21"/>
      <c r="K90" s="22"/>
      <c r="L90" s="23"/>
      <c r="M90" s="23"/>
      <c r="N90" s="24"/>
      <c r="O90" s="24"/>
      <c r="P90" s="23"/>
      <c r="Q90" s="23"/>
      <c r="R90" s="24"/>
      <c r="S90" s="24"/>
      <c r="T90" s="23"/>
      <c r="U90" s="23"/>
      <c r="V90" s="24"/>
      <c r="W90" s="24"/>
      <c r="X90" s="23"/>
      <c r="Y90" s="23"/>
      <c r="Z90" s="80"/>
      <c r="AA90" s="80"/>
      <c r="AB90" s="79"/>
      <c r="AC90" s="79"/>
      <c r="AD90" s="80"/>
      <c r="AE90" s="80"/>
      <c r="AF90" s="23"/>
      <c r="AG90" s="23"/>
      <c r="AH90" s="24"/>
      <c r="AI90" s="24"/>
    </row>
    <row r="91" spans="1:35" x14ac:dyDescent="0.3">
      <c r="A91" s="35"/>
      <c r="B91" s="146"/>
      <c r="C91" s="88"/>
      <c r="D91" s="39"/>
      <c r="E91" s="39"/>
      <c r="F91" s="28"/>
      <c r="G91" s="17"/>
      <c r="H91" s="19"/>
      <c r="I91" s="19"/>
      <c r="J91" s="21"/>
      <c r="K91" s="22"/>
      <c r="L91" s="23"/>
      <c r="M91" s="23"/>
      <c r="N91" s="24"/>
      <c r="O91" s="24"/>
      <c r="P91" s="23"/>
      <c r="Q91" s="23"/>
      <c r="R91" s="24"/>
      <c r="S91" s="24"/>
      <c r="T91" s="23"/>
      <c r="U91" s="23"/>
      <c r="V91" s="24"/>
      <c r="W91" s="24"/>
      <c r="X91" s="23"/>
      <c r="Y91" s="23"/>
      <c r="Z91" s="80"/>
      <c r="AA91" s="80"/>
      <c r="AB91" s="79"/>
      <c r="AC91" s="79"/>
      <c r="AD91" s="80"/>
      <c r="AE91" s="80"/>
      <c r="AF91" s="23"/>
      <c r="AG91" s="23"/>
      <c r="AH91" s="24"/>
      <c r="AI91" s="24"/>
    </row>
    <row r="92" spans="1:35" x14ac:dyDescent="0.3">
      <c r="A92" s="35"/>
      <c r="B92" s="43"/>
      <c r="C92" s="88"/>
      <c r="D92" s="39"/>
      <c r="E92" s="39"/>
      <c r="F92" s="28"/>
      <c r="G92" s="17"/>
      <c r="H92" s="19"/>
      <c r="I92" s="19"/>
      <c r="J92" s="21"/>
      <c r="K92" s="22"/>
      <c r="L92" s="23"/>
      <c r="M92" s="23"/>
      <c r="N92" s="24"/>
      <c r="O92" s="24"/>
      <c r="P92" s="23"/>
      <c r="Q92" s="23"/>
      <c r="R92" s="24"/>
      <c r="S92" s="24"/>
      <c r="T92" s="23"/>
      <c r="U92" s="23"/>
      <c r="V92" s="24"/>
      <c r="W92" s="24"/>
      <c r="X92" s="23"/>
      <c r="Y92" s="23"/>
      <c r="Z92" s="80"/>
      <c r="AA92" s="80"/>
      <c r="AB92" s="79"/>
      <c r="AC92" s="79"/>
      <c r="AD92" s="80"/>
      <c r="AE92" s="80"/>
      <c r="AF92" s="23"/>
      <c r="AG92" s="23"/>
      <c r="AH92" s="24"/>
      <c r="AI92" s="24"/>
    </row>
    <row r="93" spans="1:35" x14ac:dyDescent="0.3">
      <c r="A93" s="31"/>
      <c r="B93" s="93"/>
      <c r="C93" s="88"/>
      <c r="D93" s="39"/>
      <c r="E93" s="39"/>
      <c r="F93" s="28"/>
      <c r="G93" s="17"/>
      <c r="H93" s="19"/>
      <c r="I93" s="19"/>
      <c r="J93" s="21"/>
      <c r="K93" s="22"/>
      <c r="L93" s="23"/>
      <c r="M93" s="23"/>
      <c r="N93" s="24"/>
      <c r="O93" s="24"/>
      <c r="P93" s="23"/>
      <c r="Q93" s="23"/>
      <c r="R93" s="24"/>
      <c r="S93" s="24"/>
      <c r="T93" s="23"/>
      <c r="U93" s="23"/>
      <c r="V93" s="24"/>
      <c r="W93" s="24"/>
      <c r="X93" s="23"/>
      <c r="Y93" s="23"/>
      <c r="Z93" s="80"/>
      <c r="AA93" s="80"/>
      <c r="AB93" s="79"/>
      <c r="AC93" s="79"/>
      <c r="AD93" s="80"/>
      <c r="AE93" s="80"/>
      <c r="AF93" s="23"/>
      <c r="AG93" s="23"/>
      <c r="AH93" s="24"/>
      <c r="AI93" s="24"/>
    </row>
    <row r="94" spans="1:35" x14ac:dyDescent="0.3">
      <c r="A94" s="31"/>
      <c r="B94" s="93"/>
      <c r="C94" s="88"/>
      <c r="D94" s="39"/>
      <c r="E94" s="39"/>
      <c r="F94" s="28"/>
      <c r="G94" s="17"/>
      <c r="H94" s="19"/>
      <c r="I94" s="19"/>
      <c r="J94" s="21"/>
      <c r="K94" s="22"/>
      <c r="L94" s="23"/>
      <c r="M94" s="23"/>
      <c r="N94" s="24"/>
      <c r="O94" s="24"/>
      <c r="P94" s="23"/>
      <c r="Q94" s="23"/>
      <c r="R94" s="24"/>
      <c r="S94" s="24"/>
      <c r="T94" s="23"/>
      <c r="U94" s="23"/>
      <c r="V94" s="24"/>
      <c r="W94" s="24"/>
      <c r="X94" s="23"/>
      <c r="Y94" s="23"/>
      <c r="Z94" s="80"/>
      <c r="AA94" s="80"/>
      <c r="AB94" s="79"/>
      <c r="AC94" s="79"/>
      <c r="AD94" s="80"/>
      <c r="AE94" s="80"/>
      <c r="AF94" s="23"/>
      <c r="AG94" s="23"/>
      <c r="AH94" s="24"/>
      <c r="AI94" s="24"/>
    </row>
    <row r="95" spans="1:35" x14ac:dyDescent="0.3">
      <c r="A95" s="31"/>
      <c r="B95" s="93"/>
      <c r="C95" s="88"/>
      <c r="D95" s="39"/>
      <c r="E95" s="39"/>
      <c r="F95" s="28"/>
      <c r="G95" s="17"/>
      <c r="H95" s="19"/>
      <c r="I95" s="19"/>
      <c r="J95" s="21"/>
      <c r="K95" s="22"/>
      <c r="L95" s="23"/>
      <c r="M95" s="23"/>
      <c r="N95" s="24"/>
      <c r="O95" s="24"/>
      <c r="P95" s="23"/>
      <c r="Q95" s="23"/>
      <c r="R95" s="24"/>
      <c r="S95" s="24"/>
      <c r="T95" s="23"/>
      <c r="U95" s="23"/>
      <c r="V95" s="24"/>
      <c r="W95" s="24"/>
      <c r="X95" s="23"/>
      <c r="Y95" s="23"/>
      <c r="Z95" s="80"/>
      <c r="AA95" s="80"/>
      <c r="AB95" s="79"/>
      <c r="AC95" s="79"/>
      <c r="AD95" s="80"/>
      <c r="AE95" s="80"/>
      <c r="AF95" s="23"/>
      <c r="AG95" s="23"/>
      <c r="AH95" s="24"/>
      <c r="AI95" s="24"/>
    </row>
    <row r="96" spans="1:35" x14ac:dyDescent="0.3">
      <c r="A96" s="31"/>
      <c r="B96" s="93"/>
      <c r="C96" s="88"/>
      <c r="D96" s="39"/>
      <c r="E96" s="39"/>
      <c r="F96" s="28"/>
      <c r="G96" s="17"/>
      <c r="H96" s="19"/>
      <c r="I96" s="19"/>
      <c r="J96" s="21"/>
      <c r="K96" s="22"/>
      <c r="L96" s="23"/>
      <c r="M96" s="23"/>
      <c r="N96" s="24"/>
      <c r="O96" s="24"/>
      <c r="P96" s="23"/>
      <c r="Q96" s="23"/>
      <c r="R96" s="24"/>
      <c r="S96" s="24"/>
      <c r="T96" s="23"/>
      <c r="U96" s="23"/>
      <c r="V96" s="24"/>
      <c r="W96" s="24"/>
      <c r="X96" s="23"/>
      <c r="Y96" s="23"/>
      <c r="Z96" s="80"/>
      <c r="AA96" s="80"/>
      <c r="AB96" s="79"/>
      <c r="AC96" s="79"/>
      <c r="AD96" s="80"/>
      <c r="AE96" s="80"/>
      <c r="AF96" s="23"/>
      <c r="AG96" s="23"/>
      <c r="AH96" s="24"/>
      <c r="AI96" s="24"/>
    </row>
    <row r="97" spans="1:35" x14ac:dyDescent="0.3">
      <c r="A97" s="31"/>
      <c r="B97" s="93"/>
      <c r="C97" s="88"/>
      <c r="D97" s="39"/>
      <c r="E97" s="39"/>
      <c r="F97" s="28"/>
      <c r="G97" s="17"/>
      <c r="H97" s="19"/>
      <c r="I97" s="19"/>
      <c r="J97" s="21"/>
      <c r="K97" s="22"/>
      <c r="L97" s="23"/>
      <c r="M97" s="23"/>
      <c r="N97" s="24"/>
      <c r="O97" s="24"/>
      <c r="P97" s="23"/>
      <c r="Q97" s="23"/>
      <c r="R97" s="24"/>
      <c r="S97" s="24"/>
      <c r="T97" s="23"/>
      <c r="U97" s="23"/>
      <c r="V97" s="24"/>
      <c r="W97" s="24"/>
      <c r="X97" s="23"/>
      <c r="Y97" s="23"/>
      <c r="Z97" s="80"/>
      <c r="AA97" s="80"/>
      <c r="AB97" s="79"/>
      <c r="AC97" s="79"/>
      <c r="AD97" s="80"/>
      <c r="AE97" s="80"/>
      <c r="AF97" s="23"/>
      <c r="AG97" s="23"/>
      <c r="AH97" s="24"/>
      <c r="AI97" s="24"/>
    </row>
    <row r="98" spans="1:35" x14ac:dyDescent="0.3">
      <c r="A98" s="31"/>
      <c r="B98" s="93"/>
      <c r="C98" s="88"/>
      <c r="D98" s="39"/>
      <c r="E98" s="39"/>
      <c r="F98" s="28"/>
      <c r="G98" s="17"/>
      <c r="H98" s="19"/>
      <c r="I98" s="19"/>
      <c r="J98" s="21"/>
      <c r="K98" s="22"/>
      <c r="L98" s="23"/>
      <c r="M98" s="23"/>
      <c r="N98" s="24"/>
      <c r="O98" s="24"/>
      <c r="P98" s="23"/>
      <c r="Q98" s="23"/>
      <c r="R98" s="24"/>
      <c r="S98" s="24"/>
      <c r="T98" s="23"/>
      <c r="U98" s="23"/>
      <c r="V98" s="24"/>
      <c r="W98" s="24"/>
      <c r="X98" s="23"/>
      <c r="Y98" s="23"/>
      <c r="Z98" s="80"/>
      <c r="AA98" s="80"/>
      <c r="AB98" s="79"/>
      <c r="AC98" s="79"/>
      <c r="AD98" s="80"/>
      <c r="AE98" s="80"/>
      <c r="AF98" s="23"/>
      <c r="AG98" s="23"/>
      <c r="AH98" s="24"/>
      <c r="AI98" s="24"/>
    </row>
    <row r="99" spans="1:35" x14ac:dyDescent="0.3">
      <c r="A99" s="31"/>
      <c r="B99" s="93"/>
      <c r="C99" s="88"/>
      <c r="D99" s="39"/>
      <c r="E99" s="39"/>
      <c r="F99" s="28"/>
      <c r="G99" s="17"/>
      <c r="H99" s="19"/>
      <c r="I99" s="19"/>
      <c r="J99" s="21"/>
      <c r="K99" s="22"/>
      <c r="L99" s="23"/>
      <c r="M99" s="23"/>
      <c r="N99" s="24"/>
      <c r="O99" s="24"/>
      <c r="P99" s="23"/>
      <c r="Q99" s="23"/>
      <c r="R99" s="24"/>
      <c r="S99" s="24"/>
      <c r="T99" s="23"/>
      <c r="U99" s="23"/>
      <c r="V99" s="24"/>
      <c r="W99" s="24"/>
      <c r="X99" s="23"/>
      <c r="Y99" s="23"/>
      <c r="Z99" s="80"/>
      <c r="AA99" s="80"/>
      <c r="AB99" s="79"/>
      <c r="AC99" s="79"/>
      <c r="AD99" s="80"/>
      <c r="AE99" s="80"/>
      <c r="AF99" s="23"/>
      <c r="AG99" s="23"/>
      <c r="AH99" s="24"/>
      <c r="AI99" s="24"/>
    </row>
    <row r="100" spans="1:35" x14ac:dyDescent="0.3">
      <c r="A100" s="31"/>
      <c r="B100" s="93"/>
      <c r="C100" s="88"/>
      <c r="D100" s="39"/>
      <c r="E100" s="39"/>
      <c r="F100" s="28"/>
      <c r="G100" s="17"/>
      <c r="H100" s="19"/>
      <c r="I100" s="19"/>
      <c r="J100" s="21"/>
      <c r="K100" s="22"/>
      <c r="L100" s="23"/>
      <c r="M100" s="23"/>
      <c r="N100" s="24"/>
      <c r="O100" s="24"/>
      <c r="P100" s="23"/>
      <c r="Q100" s="23"/>
      <c r="R100" s="24"/>
      <c r="S100" s="24"/>
      <c r="T100" s="23"/>
      <c r="U100" s="23"/>
      <c r="V100" s="24"/>
      <c r="W100" s="24"/>
      <c r="X100" s="23"/>
      <c r="Y100" s="23"/>
      <c r="Z100" s="80"/>
      <c r="AA100" s="80"/>
      <c r="AB100" s="79"/>
      <c r="AC100" s="79"/>
      <c r="AD100" s="80"/>
      <c r="AE100" s="80"/>
      <c r="AF100" s="23"/>
      <c r="AG100" s="23"/>
      <c r="AH100" s="24"/>
      <c r="AI100" s="24"/>
    </row>
    <row r="101" spans="1:35" x14ac:dyDescent="0.3">
      <c r="A101" s="31"/>
      <c r="B101" s="93"/>
      <c r="C101" s="88"/>
      <c r="D101" s="39"/>
      <c r="E101" s="39"/>
      <c r="F101" s="28"/>
      <c r="G101" s="17"/>
      <c r="H101" s="19"/>
      <c r="I101" s="19"/>
      <c r="J101" s="21"/>
      <c r="K101" s="22"/>
      <c r="L101" s="23"/>
      <c r="M101" s="23"/>
      <c r="N101" s="24"/>
      <c r="O101" s="24"/>
      <c r="P101" s="23"/>
      <c r="Q101" s="23"/>
      <c r="R101" s="24"/>
      <c r="S101" s="24"/>
      <c r="T101" s="23"/>
      <c r="U101" s="23"/>
      <c r="V101" s="24"/>
      <c r="W101" s="24"/>
      <c r="X101" s="23"/>
      <c r="Y101" s="23"/>
      <c r="Z101" s="80"/>
      <c r="AA101" s="80"/>
      <c r="AB101" s="79"/>
      <c r="AC101" s="79"/>
      <c r="AD101" s="80"/>
      <c r="AE101" s="80"/>
      <c r="AF101" s="23"/>
      <c r="AG101" s="23"/>
      <c r="AH101" s="24"/>
      <c r="AI101" s="24"/>
    </row>
    <row r="102" spans="1:35" x14ac:dyDescent="0.3">
      <c r="A102" s="31"/>
      <c r="B102" s="93"/>
      <c r="C102" s="88"/>
      <c r="D102" s="39"/>
      <c r="E102" s="39"/>
      <c r="F102" s="28"/>
      <c r="G102" s="17"/>
      <c r="H102" s="19"/>
      <c r="I102" s="19"/>
      <c r="J102" s="21"/>
      <c r="K102" s="22"/>
      <c r="L102" s="23"/>
      <c r="M102" s="23"/>
      <c r="N102" s="24"/>
      <c r="O102" s="24"/>
      <c r="P102" s="23"/>
      <c r="Q102" s="23"/>
      <c r="R102" s="24"/>
      <c r="S102" s="24"/>
      <c r="T102" s="23"/>
      <c r="U102" s="23"/>
      <c r="V102" s="24"/>
      <c r="W102" s="24"/>
      <c r="X102" s="23"/>
      <c r="Y102" s="23"/>
      <c r="Z102" s="80"/>
      <c r="AA102" s="80"/>
      <c r="AB102" s="79"/>
      <c r="AC102" s="79"/>
      <c r="AD102" s="80"/>
      <c r="AE102" s="80"/>
      <c r="AF102" s="23"/>
      <c r="AG102" s="23"/>
      <c r="AH102" s="24"/>
      <c r="AI102" s="24"/>
    </row>
    <row r="103" spans="1:35" x14ac:dyDescent="0.3">
      <c r="A103" s="31"/>
      <c r="B103" s="93"/>
      <c r="C103" s="88"/>
      <c r="D103" s="39"/>
      <c r="E103" s="39"/>
      <c r="F103" s="28"/>
      <c r="G103" s="17"/>
      <c r="H103" s="19"/>
      <c r="I103" s="19"/>
      <c r="J103" s="21"/>
      <c r="K103" s="22"/>
      <c r="L103" s="23"/>
      <c r="M103" s="23"/>
      <c r="N103" s="24"/>
      <c r="O103" s="24"/>
      <c r="P103" s="23"/>
      <c r="Q103" s="23"/>
      <c r="R103" s="24"/>
      <c r="S103" s="24"/>
      <c r="T103" s="23"/>
      <c r="U103" s="23"/>
      <c r="V103" s="24"/>
      <c r="W103" s="24"/>
      <c r="X103" s="23"/>
      <c r="Y103" s="23"/>
      <c r="Z103" s="80"/>
      <c r="AA103" s="80"/>
      <c r="AB103" s="79"/>
      <c r="AC103" s="79"/>
      <c r="AD103" s="80"/>
      <c r="AE103" s="80"/>
      <c r="AF103" s="23"/>
      <c r="AG103" s="23"/>
      <c r="AH103" s="24"/>
      <c r="AI103" s="24"/>
    </row>
    <row r="104" spans="1:35" x14ac:dyDescent="0.3">
      <c r="A104" s="31"/>
      <c r="B104" s="93"/>
      <c r="C104" s="88"/>
      <c r="D104" s="39"/>
      <c r="E104" s="39"/>
      <c r="F104" s="28"/>
      <c r="G104" s="17"/>
      <c r="H104" s="19"/>
      <c r="I104" s="19"/>
      <c r="J104" s="21"/>
      <c r="K104" s="22"/>
      <c r="L104" s="23"/>
      <c r="M104" s="23"/>
      <c r="N104" s="24"/>
      <c r="O104" s="24"/>
      <c r="P104" s="23"/>
      <c r="Q104" s="23"/>
      <c r="R104" s="24"/>
      <c r="S104" s="24"/>
      <c r="T104" s="23"/>
      <c r="U104" s="23"/>
      <c r="V104" s="24"/>
      <c r="W104" s="24"/>
      <c r="X104" s="23"/>
      <c r="Y104" s="23"/>
      <c r="Z104" s="80"/>
      <c r="AA104" s="80"/>
      <c r="AB104" s="79"/>
      <c r="AC104" s="79"/>
      <c r="AD104" s="80"/>
      <c r="AE104" s="80"/>
      <c r="AF104" s="23"/>
      <c r="AG104" s="23"/>
      <c r="AH104" s="24"/>
      <c r="AI104" s="24"/>
    </row>
    <row r="105" spans="1:35" x14ac:dyDescent="0.3">
      <c r="A105" s="31"/>
      <c r="B105" s="43"/>
      <c r="C105" s="88"/>
      <c r="D105" s="39"/>
      <c r="E105" s="39"/>
      <c r="F105" s="28"/>
      <c r="G105" s="17"/>
      <c r="H105" s="19"/>
      <c r="I105" s="19"/>
      <c r="J105" s="21"/>
      <c r="K105" s="22"/>
      <c r="L105" s="23"/>
      <c r="M105" s="23"/>
      <c r="N105" s="24"/>
      <c r="O105" s="24"/>
      <c r="P105" s="23"/>
      <c r="Q105" s="23"/>
      <c r="R105" s="24"/>
      <c r="S105" s="24"/>
      <c r="T105" s="23"/>
      <c r="U105" s="23"/>
      <c r="V105" s="24"/>
      <c r="W105" s="24"/>
      <c r="X105" s="23"/>
      <c r="Y105" s="23"/>
      <c r="Z105" s="80"/>
      <c r="AA105" s="80"/>
      <c r="AB105" s="79"/>
      <c r="AC105" s="79"/>
      <c r="AD105" s="80"/>
      <c r="AE105" s="80"/>
      <c r="AF105" s="23"/>
      <c r="AG105" s="23"/>
      <c r="AH105" s="24"/>
      <c r="AI105" s="24"/>
    </row>
    <row r="106" spans="1:35" x14ac:dyDescent="0.3">
      <c r="A106" s="31"/>
      <c r="B106" s="93"/>
      <c r="C106" s="88"/>
      <c r="D106" s="39"/>
      <c r="E106" s="39"/>
      <c r="F106" s="28"/>
      <c r="G106" s="17"/>
      <c r="H106" s="19"/>
      <c r="I106" s="19"/>
      <c r="J106" s="21"/>
      <c r="K106" s="22"/>
      <c r="L106" s="23"/>
      <c r="M106" s="23"/>
      <c r="N106" s="24"/>
      <c r="O106" s="24"/>
      <c r="P106" s="23"/>
      <c r="Q106" s="23"/>
      <c r="R106" s="24"/>
      <c r="S106" s="24"/>
      <c r="T106" s="23"/>
      <c r="U106" s="23"/>
      <c r="V106" s="24"/>
      <c r="W106" s="24"/>
      <c r="X106" s="23"/>
      <c r="Y106" s="23"/>
      <c r="Z106" s="80"/>
      <c r="AA106" s="80"/>
      <c r="AB106" s="79"/>
      <c r="AC106" s="79"/>
      <c r="AD106" s="80"/>
      <c r="AE106" s="80"/>
      <c r="AF106" s="23"/>
      <c r="AG106" s="23"/>
      <c r="AH106" s="24"/>
      <c r="AI106" s="24"/>
    </row>
    <row r="107" spans="1:35" x14ac:dyDescent="0.3">
      <c r="A107" s="31"/>
      <c r="B107" s="93"/>
      <c r="C107" s="88"/>
      <c r="D107" s="39"/>
      <c r="E107" s="39"/>
      <c r="F107" s="28"/>
      <c r="G107" s="17"/>
      <c r="H107" s="19"/>
      <c r="I107" s="19"/>
      <c r="J107" s="21"/>
      <c r="K107" s="22"/>
      <c r="L107" s="23"/>
      <c r="M107" s="23"/>
      <c r="N107" s="24"/>
      <c r="O107" s="24"/>
      <c r="P107" s="23"/>
      <c r="Q107" s="23"/>
      <c r="R107" s="24"/>
      <c r="S107" s="24"/>
      <c r="T107" s="23"/>
      <c r="U107" s="23"/>
      <c r="V107" s="24"/>
      <c r="W107" s="24"/>
      <c r="X107" s="23"/>
      <c r="Y107" s="23"/>
      <c r="Z107" s="80"/>
      <c r="AA107" s="80"/>
      <c r="AB107" s="79"/>
      <c r="AC107" s="79"/>
      <c r="AD107" s="80"/>
      <c r="AE107" s="80"/>
      <c r="AF107" s="23"/>
      <c r="AG107" s="23"/>
      <c r="AH107" s="24"/>
      <c r="AI107" s="24"/>
    </row>
    <row r="108" spans="1:35" x14ac:dyDescent="0.3">
      <c r="A108" s="31"/>
      <c r="B108" s="43"/>
      <c r="C108" s="88"/>
      <c r="D108" s="39"/>
      <c r="E108" s="39"/>
      <c r="F108" s="28"/>
      <c r="G108" s="17"/>
      <c r="H108" s="19"/>
      <c r="I108" s="19"/>
      <c r="J108" s="21"/>
      <c r="K108" s="22"/>
      <c r="L108" s="23"/>
      <c r="M108" s="23"/>
      <c r="N108" s="24"/>
      <c r="O108" s="24"/>
      <c r="P108" s="23"/>
      <c r="Q108" s="23"/>
      <c r="R108" s="24"/>
      <c r="S108" s="24"/>
      <c r="T108" s="23"/>
      <c r="U108" s="23"/>
      <c r="V108" s="24"/>
      <c r="W108" s="24"/>
      <c r="X108" s="23"/>
      <c r="Y108" s="23"/>
      <c r="Z108" s="80"/>
      <c r="AA108" s="80"/>
      <c r="AB108" s="79"/>
      <c r="AC108" s="79"/>
      <c r="AD108" s="80"/>
      <c r="AE108" s="80"/>
      <c r="AF108" s="23"/>
      <c r="AG108" s="23"/>
      <c r="AH108" s="24"/>
      <c r="AI108" s="24"/>
    </row>
    <row r="109" spans="1:35" x14ac:dyDescent="0.3">
      <c r="A109" s="31"/>
      <c r="B109" s="93"/>
      <c r="C109" s="88"/>
      <c r="D109" s="39"/>
      <c r="E109" s="39"/>
      <c r="F109" s="28"/>
      <c r="G109" s="17"/>
      <c r="H109" s="19"/>
      <c r="I109" s="19"/>
      <c r="J109" s="21"/>
      <c r="K109" s="22"/>
      <c r="L109" s="23"/>
      <c r="M109" s="23"/>
      <c r="N109" s="24"/>
      <c r="O109" s="24"/>
      <c r="P109" s="23"/>
      <c r="Q109" s="23"/>
      <c r="R109" s="24"/>
      <c r="S109" s="24"/>
      <c r="T109" s="23"/>
      <c r="U109" s="23"/>
      <c r="V109" s="24"/>
      <c r="W109" s="24"/>
      <c r="X109" s="23"/>
      <c r="Y109" s="23"/>
      <c r="Z109" s="80"/>
      <c r="AA109" s="80"/>
      <c r="AB109" s="79"/>
      <c r="AC109" s="79"/>
      <c r="AD109" s="80"/>
      <c r="AE109" s="80"/>
      <c r="AF109" s="23"/>
      <c r="AG109" s="23"/>
      <c r="AH109" s="24"/>
      <c r="AI109" s="24"/>
    </row>
    <row r="110" spans="1:35" x14ac:dyDescent="0.3">
      <c r="A110" s="31"/>
      <c r="B110" s="93"/>
      <c r="C110" s="88"/>
      <c r="D110" s="39"/>
      <c r="E110" s="39"/>
      <c r="F110" s="28"/>
      <c r="G110" s="17"/>
      <c r="H110" s="19"/>
      <c r="I110" s="19"/>
      <c r="J110" s="21"/>
      <c r="K110" s="22"/>
      <c r="L110" s="23"/>
      <c r="M110" s="23"/>
      <c r="N110" s="24"/>
      <c r="O110" s="24"/>
      <c r="P110" s="23"/>
      <c r="Q110" s="23"/>
      <c r="R110" s="24"/>
      <c r="S110" s="24"/>
      <c r="T110" s="23"/>
      <c r="U110" s="23"/>
      <c r="V110" s="24"/>
      <c r="W110" s="24"/>
      <c r="X110" s="23"/>
      <c r="Y110" s="23"/>
      <c r="Z110" s="80"/>
      <c r="AA110" s="80"/>
      <c r="AB110" s="79"/>
      <c r="AC110" s="79"/>
      <c r="AD110" s="80"/>
      <c r="AE110" s="80"/>
      <c r="AF110" s="23"/>
      <c r="AG110" s="23"/>
      <c r="AH110" s="24"/>
      <c r="AI110" s="24"/>
    </row>
    <row r="111" spans="1:35" x14ac:dyDescent="0.3">
      <c r="A111" s="31"/>
      <c r="B111" s="93"/>
      <c r="C111" s="88"/>
      <c r="D111" s="39"/>
      <c r="E111" s="39"/>
      <c r="F111" s="28"/>
      <c r="G111" s="17"/>
      <c r="H111" s="19"/>
      <c r="I111" s="19"/>
      <c r="J111" s="21"/>
      <c r="K111" s="22"/>
      <c r="L111" s="23"/>
      <c r="M111" s="23"/>
      <c r="N111" s="24"/>
      <c r="O111" s="24"/>
      <c r="P111" s="23"/>
      <c r="Q111" s="23"/>
      <c r="R111" s="24"/>
      <c r="S111" s="24"/>
      <c r="T111" s="23"/>
      <c r="U111" s="23"/>
      <c r="V111" s="24"/>
      <c r="W111" s="24"/>
      <c r="X111" s="23"/>
      <c r="Y111" s="23"/>
      <c r="Z111" s="80"/>
      <c r="AA111" s="80"/>
      <c r="AB111" s="79"/>
      <c r="AC111" s="79"/>
      <c r="AD111" s="80"/>
      <c r="AE111" s="80"/>
      <c r="AF111" s="23"/>
      <c r="AG111" s="23"/>
      <c r="AH111" s="24"/>
      <c r="AI111" s="24"/>
    </row>
    <row r="112" spans="1:35" x14ac:dyDescent="0.3">
      <c r="A112" s="31"/>
      <c r="B112" s="43"/>
      <c r="C112" s="88"/>
      <c r="D112" s="39"/>
      <c r="E112" s="39"/>
      <c r="F112" s="28"/>
      <c r="G112" s="17"/>
      <c r="H112" s="19"/>
      <c r="I112" s="19"/>
      <c r="J112" s="21"/>
      <c r="K112" s="22"/>
      <c r="L112" s="23"/>
      <c r="M112" s="23"/>
      <c r="N112" s="24"/>
      <c r="O112" s="24"/>
      <c r="P112" s="23"/>
      <c r="Q112" s="23"/>
      <c r="R112" s="24"/>
      <c r="S112" s="24"/>
      <c r="T112" s="23"/>
      <c r="U112" s="23"/>
      <c r="V112" s="24"/>
      <c r="W112" s="24"/>
      <c r="X112" s="23"/>
      <c r="Y112" s="23"/>
      <c r="Z112" s="80"/>
      <c r="AA112" s="80"/>
      <c r="AB112" s="79"/>
      <c r="AC112" s="79"/>
      <c r="AD112" s="80"/>
      <c r="AE112" s="80"/>
      <c r="AF112" s="23"/>
      <c r="AG112" s="23"/>
      <c r="AH112" s="24"/>
      <c r="AI112" s="24"/>
    </row>
    <row r="113" spans="1:35" x14ac:dyDescent="0.3">
      <c r="A113" s="31"/>
      <c r="B113" s="93"/>
      <c r="C113" s="88"/>
      <c r="D113" s="39"/>
      <c r="E113" s="39"/>
      <c r="F113" s="28"/>
      <c r="G113" s="17"/>
      <c r="H113" s="19"/>
      <c r="I113" s="19"/>
      <c r="J113" s="21"/>
      <c r="K113" s="22"/>
      <c r="L113" s="23"/>
      <c r="M113" s="23"/>
      <c r="N113" s="24"/>
      <c r="O113" s="24"/>
      <c r="P113" s="23"/>
      <c r="Q113" s="23"/>
      <c r="R113" s="24"/>
      <c r="S113" s="24"/>
      <c r="T113" s="23"/>
      <c r="U113" s="23"/>
      <c r="V113" s="24"/>
      <c r="W113" s="24"/>
      <c r="X113" s="23"/>
      <c r="Y113" s="23"/>
      <c r="Z113" s="80"/>
      <c r="AA113" s="80"/>
      <c r="AB113" s="79"/>
      <c r="AC113" s="79"/>
      <c r="AD113" s="80"/>
      <c r="AE113" s="80"/>
      <c r="AF113" s="23"/>
      <c r="AG113" s="23"/>
      <c r="AH113" s="24"/>
      <c r="AI113" s="24"/>
    </row>
    <row r="114" spans="1:35" x14ac:dyDescent="0.3">
      <c r="A114" s="31"/>
      <c r="B114" s="93"/>
      <c r="C114" s="88"/>
      <c r="D114" s="39"/>
      <c r="E114" s="39"/>
      <c r="F114" s="28"/>
      <c r="G114" s="17"/>
      <c r="H114" s="19"/>
      <c r="I114" s="19"/>
      <c r="J114" s="21"/>
      <c r="K114" s="22"/>
      <c r="L114" s="23"/>
      <c r="M114" s="23"/>
      <c r="N114" s="24"/>
      <c r="O114" s="24"/>
      <c r="P114" s="23"/>
      <c r="Q114" s="23"/>
      <c r="R114" s="24"/>
      <c r="S114" s="24"/>
      <c r="T114" s="23"/>
      <c r="U114" s="23"/>
      <c r="V114" s="24"/>
      <c r="W114" s="24"/>
      <c r="X114" s="23"/>
      <c r="Y114" s="23"/>
      <c r="Z114" s="80"/>
      <c r="AA114" s="80"/>
      <c r="AB114" s="79"/>
      <c r="AC114" s="79"/>
      <c r="AD114" s="80"/>
      <c r="AE114" s="80"/>
      <c r="AF114" s="23"/>
      <c r="AG114" s="23"/>
      <c r="AH114" s="24"/>
      <c r="AI114" s="24"/>
    </row>
    <row r="115" spans="1:35" x14ac:dyDescent="0.3">
      <c r="A115" s="31"/>
      <c r="B115" s="93"/>
      <c r="C115" s="88"/>
      <c r="D115" s="39"/>
      <c r="E115" s="39"/>
      <c r="F115" s="28"/>
      <c r="G115" s="17"/>
      <c r="H115" s="19"/>
      <c r="I115" s="19"/>
      <c r="J115" s="21"/>
      <c r="K115" s="22"/>
      <c r="L115" s="23"/>
      <c r="M115" s="23"/>
      <c r="N115" s="24"/>
      <c r="O115" s="24"/>
      <c r="P115" s="23"/>
      <c r="Q115" s="23"/>
      <c r="R115" s="24"/>
      <c r="S115" s="24"/>
      <c r="T115" s="23"/>
      <c r="U115" s="23"/>
      <c r="V115" s="24"/>
      <c r="W115" s="24"/>
      <c r="X115" s="23"/>
      <c r="Y115" s="23"/>
      <c r="Z115" s="80"/>
      <c r="AA115" s="80"/>
      <c r="AB115" s="79"/>
      <c r="AC115" s="79"/>
      <c r="AD115" s="80"/>
      <c r="AE115" s="80"/>
      <c r="AF115" s="23"/>
      <c r="AG115" s="23"/>
      <c r="AH115" s="24"/>
      <c r="AI115" s="24"/>
    </row>
    <row r="116" spans="1:35" x14ac:dyDescent="0.3">
      <c r="A116" s="31"/>
      <c r="B116" s="93"/>
      <c r="C116" s="88"/>
      <c r="D116" s="39"/>
      <c r="E116" s="39"/>
      <c r="F116" s="28"/>
      <c r="G116" s="17"/>
      <c r="H116" s="19"/>
      <c r="I116" s="19"/>
      <c r="J116" s="21"/>
      <c r="K116" s="22"/>
      <c r="L116" s="23"/>
      <c r="M116" s="23"/>
      <c r="N116" s="24"/>
      <c r="O116" s="24"/>
      <c r="P116" s="23"/>
      <c r="Q116" s="23"/>
      <c r="R116" s="24"/>
      <c r="S116" s="24"/>
      <c r="T116" s="23"/>
      <c r="U116" s="23"/>
      <c r="V116" s="24"/>
      <c r="W116" s="24"/>
      <c r="X116" s="23"/>
      <c r="Y116" s="23"/>
      <c r="Z116" s="80"/>
      <c r="AA116" s="80"/>
      <c r="AB116" s="79"/>
      <c r="AC116" s="79"/>
      <c r="AD116" s="80"/>
      <c r="AE116" s="80"/>
      <c r="AF116" s="23"/>
      <c r="AG116" s="23"/>
      <c r="AH116" s="24"/>
      <c r="AI116" s="24"/>
    </row>
    <row r="117" spans="1:35" x14ac:dyDescent="0.3">
      <c r="A117" s="31"/>
      <c r="B117" s="93"/>
      <c r="C117" s="88"/>
      <c r="D117" s="39"/>
      <c r="E117" s="39"/>
      <c r="F117" s="28"/>
      <c r="G117" s="17"/>
      <c r="H117" s="19"/>
      <c r="I117" s="19"/>
      <c r="J117" s="21"/>
      <c r="K117" s="22"/>
      <c r="L117" s="23"/>
      <c r="M117" s="23"/>
      <c r="N117" s="24"/>
      <c r="O117" s="24"/>
      <c r="P117" s="23"/>
      <c r="Q117" s="23"/>
      <c r="R117" s="24"/>
      <c r="S117" s="24"/>
      <c r="T117" s="23"/>
      <c r="U117" s="23"/>
      <c r="V117" s="24"/>
      <c r="W117" s="24"/>
      <c r="X117" s="23"/>
      <c r="Y117" s="23"/>
      <c r="Z117" s="80"/>
      <c r="AA117" s="80"/>
      <c r="AB117" s="79"/>
      <c r="AC117" s="79"/>
      <c r="AD117" s="80"/>
      <c r="AE117" s="80"/>
      <c r="AF117" s="23"/>
      <c r="AG117" s="23"/>
      <c r="AH117" s="24"/>
      <c r="AI117" s="24"/>
    </row>
    <row r="118" spans="1:35" x14ac:dyDescent="0.3">
      <c r="A118" s="31"/>
      <c r="B118" s="93"/>
      <c r="C118" s="88"/>
      <c r="D118" s="39"/>
      <c r="E118" s="39"/>
      <c r="F118" s="28"/>
      <c r="G118" s="17"/>
      <c r="H118" s="19"/>
      <c r="I118" s="19"/>
      <c r="J118" s="21"/>
      <c r="K118" s="22"/>
      <c r="L118" s="23"/>
      <c r="M118" s="23"/>
      <c r="N118" s="24"/>
      <c r="O118" s="24"/>
      <c r="P118" s="23"/>
      <c r="Q118" s="23"/>
      <c r="R118" s="24"/>
      <c r="S118" s="24"/>
      <c r="T118" s="23"/>
      <c r="U118" s="23"/>
      <c r="V118" s="24"/>
      <c r="W118" s="24"/>
      <c r="X118" s="23"/>
      <c r="Y118" s="23"/>
      <c r="Z118" s="80"/>
      <c r="AA118" s="80"/>
      <c r="AB118" s="79"/>
      <c r="AC118" s="79"/>
      <c r="AD118" s="80"/>
      <c r="AE118" s="80"/>
      <c r="AF118" s="23"/>
      <c r="AG118" s="23"/>
      <c r="AH118" s="24"/>
      <c r="AI118" s="24"/>
    </row>
    <row r="119" spans="1:35" x14ac:dyDescent="0.3">
      <c r="A119" s="31"/>
      <c r="B119" s="94"/>
      <c r="C119" s="88"/>
      <c r="D119" s="39"/>
      <c r="E119" s="39"/>
      <c r="F119" s="28"/>
      <c r="G119" s="17"/>
      <c r="H119" s="19"/>
      <c r="I119" s="19"/>
      <c r="J119" s="21"/>
      <c r="K119" s="22"/>
      <c r="L119" s="23"/>
      <c r="M119" s="23"/>
      <c r="N119" s="24"/>
      <c r="O119" s="24"/>
      <c r="P119" s="23"/>
      <c r="Q119" s="23"/>
      <c r="R119" s="24"/>
      <c r="S119" s="24"/>
      <c r="T119" s="23"/>
      <c r="U119" s="23"/>
      <c r="V119" s="24"/>
      <c r="W119" s="24"/>
      <c r="X119" s="23"/>
      <c r="Y119" s="23"/>
      <c r="Z119" s="80"/>
      <c r="AA119" s="80"/>
      <c r="AB119" s="79"/>
      <c r="AC119" s="79"/>
      <c r="AD119" s="80"/>
      <c r="AE119" s="80"/>
      <c r="AF119" s="23"/>
      <c r="AG119" s="23"/>
      <c r="AH119" s="24"/>
      <c r="AI119" s="24"/>
    </row>
    <row r="120" spans="1:35" x14ac:dyDescent="0.3">
      <c r="A120" s="31"/>
      <c r="B120" s="43"/>
      <c r="C120" s="88"/>
      <c r="D120" s="39"/>
      <c r="E120" s="39"/>
      <c r="F120" s="28"/>
      <c r="G120" s="17"/>
      <c r="H120" s="19"/>
      <c r="I120" s="19"/>
      <c r="J120" s="21"/>
      <c r="K120" s="22"/>
      <c r="L120" s="23"/>
      <c r="M120" s="23"/>
      <c r="N120" s="24"/>
      <c r="O120" s="24"/>
      <c r="P120" s="23"/>
      <c r="Q120" s="23"/>
      <c r="R120" s="24"/>
      <c r="S120" s="24"/>
      <c r="T120" s="23"/>
      <c r="U120" s="23"/>
      <c r="V120" s="24"/>
      <c r="W120" s="24"/>
      <c r="X120" s="23"/>
      <c r="Y120" s="23"/>
      <c r="Z120" s="80"/>
      <c r="AA120" s="80"/>
      <c r="AB120" s="79"/>
      <c r="AC120" s="79"/>
      <c r="AD120" s="80"/>
      <c r="AE120" s="80"/>
      <c r="AF120" s="23"/>
      <c r="AG120" s="23"/>
      <c r="AH120" s="24"/>
      <c r="AI120" s="24"/>
    </row>
    <row r="121" spans="1:35" x14ac:dyDescent="0.3">
      <c r="A121" s="31"/>
      <c r="B121" s="43"/>
      <c r="C121" s="88"/>
      <c r="D121" s="39"/>
      <c r="E121" s="39"/>
      <c r="F121" s="28"/>
      <c r="G121" s="17"/>
      <c r="H121" s="19"/>
      <c r="I121" s="19"/>
      <c r="J121" s="21"/>
      <c r="K121" s="22"/>
      <c r="L121" s="23"/>
      <c r="M121" s="23"/>
      <c r="N121" s="24"/>
      <c r="O121" s="24"/>
      <c r="P121" s="23"/>
      <c r="Q121" s="23"/>
      <c r="R121" s="24"/>
      <c r="S121" s="24"/>
      <c r="T121" s="23"/>
      <c r="U121" s="23"/>
      <c r="V121" s="24"/>
      <c r="W121" s="24"/>
      <c r="X121" s="23"/>
      <c r="Y121" s="23"/>
      <c r="Z121" s="80"/>
      <c r="AA121" s="80"/>
      <c r="AB121" s="79"/>
      <c r="AC121" s="79"/>
      <c r="AD121" s="80"/>
      <c r="AE121" s="80"/>
      <c r="AF121" s="23"/>
      <c r="AG121" s="23"/>
      <c r="AH121" s="24"/>
      <c r="AI121" s="24"/>
    </row>
    <row r="122" spans="1:35" x14ac:dyDescent="0.3">
      <c r="A122" s="31"/>
      <c r="B122" s="93"/>
      <c r="C122" s="88"/>
      <c r="D122" s="39"/>
      <c r="E122" s="39"/>
      <c r="F122" s="28"/>
      <c r="G122" s="17"/>
      <c r="H122" s="19"/>
      <c r="I122" s="19"/>
      <c r="J122" s="21"/>
      <c r="K122" s="22"/>
      <c r="L122" s="23"/>
      <c r="M122" s="23"/>
      <c r="N122" s="24"/>
      <c r="O122" s="24"/>
      <c r="P122" s="23"/>
      <c r="Q122" s="23"/>
      <c r="R122" s="24"/>
      <c r="S122" s="24"/>
      <c r="T122" s="23"/>
      <c r="U122" s="23"/>
      <c r="V122" s="24"/>
      <c r="W122" s="24"/>
      <c r="X122" s="23"/>
      <c r="Y122" s="23"/>
      <c r="Z122" s="80"/>
      <c r="AA122" s="80"/>
      <c r="AB122" s="79"/>
      <c r="AC122" s="79"/>
      <c r="AD122" s="80"/>
      <c r="AE122" s="80"/>
      <c r="AF122" s="23"/>
      <c r="AG122" s="23"/>
      <c r="AH122" s="24"/>
      <c r="AI122" s="24"/>
    </row>
    <row r="123" spans="1:35" x14ac:dyDescent="0.3">
      <c r="A123" s="31"/>
      <c r="B123" s="93"/>
      <c r="C123" s="88"/>
      <c r="D123" s="39"/>
      <c r="E123" s="39"/>
      <c r="F123" s="28"/>
      <c r="G123" s="17"/>
      <c r="H123" s="19"/>
      <c r="I123" s="19"/>
      <c r="J123" s="21"/>
      <c r="K123" s="22"/>
      <c r="L123" s="23"/>
      <c r="M123" s="23"/>
      <c r="N123" s="24"/>
      <c r="O123" s="24"/>
      <c r="P123" s="23"/>
      <c r="Q123" s="23"/>
      <c r="R123" s="24"/>
      <c r="S123" s="24"/>
      <c r="T123" s="23"/>
      <c r="U123" s="23"/>
      <c r="V123" s="24"/>
      <c r="W123" s="24"/>
      <c r="X123" s="23"/>
      <c r="Y123" s="23"/>
      <c r="Z123" s="80"/>
      <c r="AA123" s="80"/>
      <c r="AB123" s="79"/>
      <c r="AC123" s="79"/>
      <c r="AD123" s="80"/>
      <c r="AE123" s="80"/>
      <c r="AF123" s="23"/>
      <c r="AG123" s="23"/>
      <c r="AH123" s="24"/>
      <c r="AI123" s="24"/>
    </row>
    <row r="124" spans="1:35" x14ac:dyDescent="0.3">
      <c r="A124" s="31"/>
      <c r="B124" s="93"/>
      <c r="C124" s="88"/>
      <c r="D124" s="39"/>
      <c r="E124" s="39"/>
      <c r="F124" s="28"/>
      <c r="G124" s="17"/>
      <c r="H124" s="19"/>
      <c r="I124" s="19"/>
      <c r="J124" s="21"/>
      <c r="K124" s="22"/>
      <c r="L124" s="23"/>
      <c r="M124" s="23"/>
      <c r="N124" s="24"/>
      <c r="O124" s="24"/>
      <c r="P124" s="23"/>
      <c r="Q124" s="23"/>
      <c r="R124" s="24"/>
      <c r="S124" s="24"/>
      <c r="T124" s="23"/>
      <c r="U124" s="23"/>
      <c r="V124" s="24"/>
      <c r="W124" s="24"/>
      <c r="X124" s="23"/>
      <c r="Y124" s="23"/>
      <c r="Z124" s="80"/>
      <c r="AA124" s="80"/>
      <c r="AB124" s="79"/>
      <c r="AC124" s="79"/>
      <c r="AD124" s="80"/>
      <c r="AE124" s="80"/>
      <c r="AF124" s="23"/>
      <c r="AG124" s="23"/>
      <c r="AH124" s="24"/>
      <c r="AI124" s="24"/>
    </row>
    <row r="125" spans="1:35" x14ac:dyDescent="0.3">
      <c r="A125" s="31"/>
      <c r="B125" s="93"/>
      <c r="C125" s="88"/>
      <c r="D125" s="39"/>
      <c r="E125" s="39"/>
      <c r="F125" s="28"/>
      <c r="G125" s="17"/>
      <c r="H125" s="19"/>
      <c r="I125" s="19"/>
      <c r="J125" s="21"/>
      <c r="K125" s="22"/>
      <c r="L125" s="23"/>
      <c r="M125" s="23"/>
      <c r="N125" s="24"/>
      <c r="O125" s="24"/>
      <c r="P125" s="23"/>
      <c r="Q125" s="23"/>
      <c r="R125" s="24"/>
      <c r="S125" s="24"/>
      <c r="T125" s="23"/>
      <c r="U125" s="23"/>
      <c r="V125" s="24"/>
      <c r="W125" s="24"/>
      <c r="X125" s="23"/>
      <c r="Y125" s="23"/>
      <c r="Z125" s="80"/>
      <c r="AA125" s="80"/>
      <c r="AB125" s="79"/>
      <c r="AC125" s="79"/>
      <c r="AD125" s="80"/>
      <c r="AE125" s="80"/>
      <c r="AF125" s="23"/>
      <c r="AG125" s="23"/>
      <c r="AH125" s="24"/>
      <c r="AI125" s="24"/>
    </row>
    <row r="126" spans="1:35" x14ac:dyDescent="0.3">
      <c r="A126" s="31"/>
      <c r="B126" s="93"/>
      <c r="C126" s="88"/>
      <c r="D126" s="39"/>
      <c r="E126" s="39"/>
      <c r="F126" s="28"/>
      <c r="G126" s="17"/>
      <c r="H126" s="19"/>
      <c r="I126" s="19"/>
      <c r="J126" s="21"/>
      <c r="K126" s="22"/>
      <c r="L126" s="23"/>
      <c r="M126" s="23"/>
      <c r="N126" s="24"/>
      <c r="O126" s="24"/>
      <c r="P126" s="23"/>
      <c r="Q126" s="23"/>
      <c r="R126" s="24"/>
      <c r="S126" s="24"/>
      <c r="T126" s="23"/>
      <c r="U126" s="23"/>
      <c r="V126" s="24"/>
      <c r="W126" s="24"/>
      <c r="X126" s="23"/>
      <c r="Y126" s="23"/>
      <c r="Z126" s="80"/>
      <c r="AA126" s="80"/>
      <c r="AB126" s="79"/>
      <c r="AC126" s="79"/>
      <c r="AD126" s="80"/>
      <c r="AE126" s="80"/>
      <c r="AF126" s="23"/>
      <c r="AG126" s="23"/>
      <c r="AH126" s="24"/>
      <c r="AI126" s="24"/>
    </row>
    <row r="127" spans="1:35" x14ac:dyDescent="0.3">
      <c r="A127" s="31"/>
      <c r="B127" s="93"/>
      <c r="C127" s="88"/>
      <c r="D127" s="39"/>
      <c r="E127" s="39"/>
      <c r="F127" s="28"/>
      <c r="G127" s="17"/>
      <c r="H127" s="19"/>
      <c r="I127" s="19"/>
      <c r="J127" s="21"/>
      <c r="K127" s="22"/>
      <c r="L127" s="23"/>
      <c r="M127" s="23"/>
      <c r="N127" s="24"/>
      <c r="O127" s="24"/>
      <c r="P127" s="23"/>
      <c r="Q127" s="23"/>
      <c r="R127" s="24"/>
      <c r="S127" s="24"/>
      <c r="T127" s="23"/>
      <c r="U127" s="23"/>
      <c r="V127" s="24"/>
      <c r="W127" s="24"/>
      <c r="X127" s="23"/>
      <c r="Y127" s="23"/>
      <c r="Z127" s="80"/>
      <c r="AA127" s="80"/>
      <c r="AB127" s="79"/>
      <c r="AC127" s="79"/>
      <c r="AD127" s="80"/>
      <c r="AE127" s="80"/>
      <c r="AF127" s="23"/>
      <c r="AG127" s="23"/>
      <c r="AH127" s="24"/>
      <c r="AI127" s="24"/>
    </row>
    <row r="128" spans="1:35" x14ac:dyDescent="0.3">
      <c r="A128" s="31"/>
      <c r="B128" s="96"/>
      <c r="C128" s="88"/>
      <c r="D128" s="39"/>
      <c r="E128" s="39"/>
      <c r="F128" s="28"/>
      <c r="G128" s="17"/>
      <c r="H128" s="19"/>
      <c r="I128" s="19"/>
      <c r="J128" s="21"/>
      <c r="K128" s="22"/>
      <c r="L128" s="23"/>
      <c r="M128" s="23"/>
      <c r="N128" s="24"/>
      <c r="O128" s="24"/>
      <c r="P128" s="23"/>
      <c r="Q128" s="23"/>
      <c r="R128" s="24"/>
      <c r="S128" s="24"/>
      <c r="T128" s="23"/>
      <c r="U128" s="23"/>
      <c r="V128" s="24"/>
      <c r="W128" s="24"/>
      <c r="X128" s="23"/>
      <c r="Y128" s="23"/>
      <c r="Z128" s="80"/>
      <c r="AA128" s="80"/>
      <c r="AB128" s="79"/>
      <c r="AC128" s="79"/>
      <c r="AD128" s="80"/>
      <c r="AE128" s="80"/>
      <c r="AF128" s="23"/>
      <c r="AG128" s="23"/>
      <c r="AH128" s="24"/>
      <c r="AI128" s="24"/>
    </row>
    <row r="129" spans="1:35" x14ac:dyDescent="0.3">
      <c r="A129" s="31"/>
      <c r="B129" s="93"/>
      <c r="C129" s="88"/>
      <c r="D129" s="39"/>
      <c r="E129" s="39"/>
      <c r="F129" s="28"/>
      <c r="G129" s="17"/>
      <c r="H129" s="19"/>
      <c r="I129" s="19"/>
      <c r="J129" s="21"/>
      <c r="K129" s="22"/>
      <c r="L129" s="23"/>
      <c r="M129" s="23"/>
      <c r="N129" s="24"/>
      <c r="O129" s="24"/>
      <c r="P129" s="23"/>
      <c r="Q129" s="23"/>
      <c r="R129" s="24"/>
      <c r="S129" s="24"/>
      <c r="T129" s="23"/>
      <c r="U129" s="23"/>
      <c r="V129" s="24"/>
      <c r="W129" s="24"/>
      <c r="X129" s="23"/>
      <c r="Y129" s="23"/>
      <c r="Z129" s="80"/>
      <c r="AA129" s="80"/>
      <c r="AB129" s="79"/>
      <c r="AC129" s="79"/>
      <c r="AD129" s="80"/>
      <c r="AE129" s="80"/>
      <c r="AF129" s="23"/>
      <c r="AG129" s="23"/>
      <c r="AH129" s="24"/>
      <c r="AI129" s="24"/>
    </row>
    <row r="130" spans="1:35" x14ac:dyDescent="0.3">
      <c r="A130" s="31"/>
      <c r="B130" s="43"/>
      <c r="C130" s="88"/>
      <c r="D130" s="39"/>
      <c r="E130" s="39"/>
      <c r="F130" s="28"/>
      <c r="G130" s="17"/>
      <c r="H130" s="19"/>
      <c r="I130" s="19"/>
      <c r="J130" s="21"/>
      <c r="K130" s="22"/>
      <c r="L130" s="23"/>
      <c r="M130" s="23"/>
      <c r="N130" s="24"/>
      <c r="O130" s="24"/>
      <c r="P130" s="23"/>
      <c r="Q130" s="23"/>
      <c r="R130" s="24"/>
      <c r="S130" s="24"/>
      <c r="T130" s="23"/>
      <c r="U130" s="23"/>
      <c r="V130" s="24"/>
      <c r="W130" s="24"/>
      <c r="X130" s="23"/>
      <c r="Y130" s="23"/>
      <c r="Z130" s="80"/>
      <c r="AA130" s="80"/>
      <c r="AB130" s="79"/>
      <c r="AC130" s="79"/>
      <c r="AD130" s="80"/>
      <c r="AE130" s="80"/>
      <c r="AF130" s="23"/>
      <c r="AG130" s="23"/>
      <c r="AH130" s="24"/>
      <c r="AI130" s="24"/>
    </row>
    <row r="131" spans="1:35" x14ac:dyDescent="0.3">
      <c r="A131" s="31"/>
      <c r="B131" s="94"/>
      <c r="C131" s="88"/>
      <c r="D131" s="39"/>
      <c r="E131" s="39"/>
      <c r="F131" s="28"/>
      <c r="G131" s="17"/>
      <c r="H131" s="19"/>
      <c r="I131" s="19"/>
      <c r="J131" s="21"/>
      <c r="K131" s="22"/>
      <c r="L131" s="23"/>
      <c r="M131" s="23"/>
      <c r="N131" s="24"/>
      <c r="O131" s="24"/>
      <c r="P131" s="23"/>
      <c r="Q131" s="23"/>
      <c r="R131" s="24"/>
      <c r="S131" s="24"/>
      <c r="T131" s="23"/>
      <c r="U131" s="23"/>
      <c r="V131" s="24"/>
      <c r="W131" s="24"/>
      <c r="X131" s="23"/>
      <c r="Y131" s="23"/>
      <c r="Z131" s="80"/>
      <c r="AA131" s="80"/>
      <c r="AB131" s="79"/>
      <c r="AC131" s="79"/>
      <c r="AD131" s="80"/>
      <c r="AE131" s="80"/>
      <c r="AF131" s="23"/>
      <c r="AG131" s="23"/>
      <c r="AH131" s="24"/>
      <c r="AI131" s="24"/>
    </row>
    <row r="132" spans="1:35" x14ac:dyDescent="0.3">
      <c r="A132" s="31"/>
      <c r="B132" s="93"/>
      <c r="C132" s="88"/>
      <c r="D132" s="39"/>
      <c r="E132" s="39"/>
      <c r="F132" s="28"/>
      <c r="G132" s="17"/>
      <c r="H132" s="19"/>
      <c r="I132" s="19"/>
      <c r="J132" s="21"/>
      <c r="K132" s="22"/>
      <c r="L132" s="23"/>
      <c r="M132" s="23"/>
      <c r="N132" s="24"/>
      <c r="O132" s="24"/>
      <c r="P132" s="23"/>
      <c r="Q132" s="23"/>
      <c r="R132" s="24"/>
      <c r="S132" s="24"/>
      <c r="T132" s="23"/>
      <c r="U132" s="23"/>
      <c r="V132" s="24"/>
      <c r="W132" s="24"/>
      <c r="X132" s="23"/>
      <c r="Y132" s="23"/>
      <c r="Z132" s="80"/>
      <c r="AA132" s="80"/>
      <c r="AB132" s="79"/>
      <c r="AC132" s="79"/>
      <c r="AD132" s="80"/>
      <c r="AE132" s="80"/>
      <c r="AF132" s="23"/>
      <c r="AG132" s="23"/>
      <c r="AH132" s="24"/>
      <c r="AI132" s="24"/>
    </row>
  </sheetData>
  <phoneticPr fontId="8" type="noConversion"/>
  <conditionalFormatting sqref="G2:G132">
    <cfRule type="cellIs" dxfId="8" priority="2" stopIfTrue="1" operator="equal">
      <formula>0</formula>
    </cfRule>
  </conditionalFormatting>
  <pageMargins left="0.7" right="0.7" top="0.75" bottom="0.75" header="0.3" footer="0.3"/>
  <pageSetup orientation="portrait" horizontalDpi="0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Member list</vt:lpstr>
      <vt:lpstr>DS Point Summary </vt:lpstr>
      <vt:lpstr>STD Handgun</vt:lpstr>
      <vt:lpstr>PROD Handgun</vt:lpstr>
      <vt:lpstr>PROD OPTICS Handgun</vt:lpstr>
      <vt:lpstr>OPEN Handgun</vt:lpstr>
      <vt:lpstr>CLASSIC Handgun</vt:lpstr>
      <vt:lpstr>Revolver</vt:lpstr>
      <vt:lpstr>PCC</vt:lpstr>
      <vt:lpstr>SAOpen Rifle</vt:lpstr>
      <vt:lpstr>SA Std Rifle</vt:lpstr>
      <vt:lpstr>Open Mini Rifle</vt:lpstr>
      <vt:lpstr>STD Mini Rifle</vt:lpstr>
      <vt:lpstr>SA OPEN Shotgun</vt:lpstr>
      <vt:lpstr>SA STD Shotgun</vt:lpstr>
      <vt:lpstr>MAN STD Shotgun</vt:lpstr>
      <vt:lpstr>MODIFIED Shotgun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 stead</dc:creator>
  <cp:lastModifiedBy>Dion Stead</cp:lastModifiedBy>
  <dcterms:created xsi:type="dcterms:W3CDTF">2021-01-02T08:54:14Z</dcterms:created>
  <dcterms:modified xsi:type="dcterms:W3CDTF">2024-12-24T06:14:35Z</dcterms:modified>
</cp:coreProperties>
</file>